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2105" yWindow="5100" windowWidth="11940" windowHeight="5130" tabRatio="672"/>
  </bookViews>
  <sheets>
    <sheet name="Założenia_Predpoklady" sheetId="3" r:id="rId1"/>
    <sheet name="Dane_Dáta" sheetId="2" r:id="rId2"/>
    <sheet name="Wyniki_Výsledky " sheetId="1" r:id="rId3"/>
    <sheet name="Trwałość_Udržateľnosť" sheetId="4" r:id="rId4"/>
    <sheet name="An. ruchu_An. cestnej premávky" sheetId="6" r:id="rId5"/>
    <sheet name="An. ekonomiczna_Ekonomická an." sheetId="5" r:id="rId6"/>
  </sheets>
  <definedNames>
    <definedName name="_xlnm.Print_Area" localSheetId="1">Dane_Dáta!$A$1:$AA$240</definedName>
    <definedName name="_xlnm.Print_Area" localSheetId="3">Trwałość_Udržateľnosť!$A$1:$AA$57</definedName>
    <definedName name="_xlnm.Print_Area" localSheetId="2">'Wyniki_Výsledky '!$A$1:$AA$100</definedName>
    <definedName name="_xlnm.Print_Area" localSheetId="0">Założenia_Predpoklady!$A$1:$AA$31</definedName>
  </definedNames>
  <calcPr calcId="145621"/>
</workbook>
</file>

<file path=xl/calcChain.xml><?xml version="1.0" encoding="utf-8"?>
<calcChain xmlns="http://schemas.openxmlformats.org/spreadsheetml/2006/main">
  <c r="D152" i="2" l="1"/>
  <c r="D153" i="2" s="1"/>
  <c r="E152" i="2"/>
  <c r="F152" i="2"/>
  <c r="F153" i="2" s="1"/>
  <c r="G152" i="2"/>
  <c r="H152" i="2"/>
  <c r="I152" i="2"/>
  <c r="J152" i="2"/>
  <c r="J153" i="2" s="1"/>
  <c r="K152" i="2"/>
  <c r="K153" i="2" s="1"/>
  <c r="L152" i="2"/>
  <c r="M152" i="2"/>
  <c r="M153" i="2" s="1"/>
  <c r="N152" i="2"/>
  <c r="N153" i="2" s="1"/>
  <c r="O152" i="2"/>
  <c r="P152" i="2"/>
  <c r="Q152" i="2"/>
  <c r="Q153" i="2" s="1"/>
  <c r="R152" i="2"/>
  <c r="R153" i="2" s="1"/>
  <c r="S152" i="2"/>
  <c r="S153" i="2" s="1"/>
  <c r="T152" i="2"/>
  <c r="U152" i="2"/>
  <c r="U153" i="2" s="1"/>
  <c r="V152" i="2"/>
  <c r="V153" i="2" s="1"/>
  <c r="W152" i="2"/>
  <c r="X152" i="2"/>
  <c r="Y152" i="2"/>
  <c r="Y153" i="2" s="1"/>
  <c r="Z152" i="2"/>
  <c r="Z153" i="2" s="1"/>
  <c r="AA152" i="2"/>
  <c r="AA153" i="2" s="1"/>
  <c r="C152" i="2"/>
  <c r="C153" i="2" s="1"/>
  <c r="E153" i="2"/>
  <c r="H153" i="2"/>
  <c r="I153" i="2"/>
  <c r="L153" i="2"/>
  <c r="O153" i="2"/>
  <c r="P153" i="2"/>
  <c r="T153" i="2"/>
  <c r="W153" i="2"/>
  <c r="X153" i="2"/>
  <c r="D30" i="3"/>
  <c r="D24" i="3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C40" i="1"/>
  <c r="D227" i="2"/>
  <c r="E227" i="2"/>
  <c r="F227" i="2"/>
  <c r="G227" i="2"/>
  <c r="H227" i="2"/>
  <c r="I227" i="2"/>
  <c r="C227" i="2"/>
  <c r="B152" i="2" l="1"/>
  <c r="B156" i="2" s="1"/>
  <c r="G153" i="2"/>
  <c r="K167" i="6"/>
  <c r="K166" i="6"/>
  <c r="H168" i="6"/>
  <c r="G168" i="6"/>
  <c r="F168" i="6"/>
  <c r="E168" i="6"/>
  <c r="D168" i="6"/>
  <c r="C168" i="6"/>
  <c r="H167" i="6"/>
  <c r="G167" i="6"/>
  <c r="F167" i="6"/>
  <c r="E167" i="6"/>
  <c r="D167" i="6"/>
  <c r="C167" i="6"/>
  <c r="H166" i="6"/>
  <c r="F166" i="6"/>
  <c r="E166" i="6"/>
  <c r="G166" i="6"/>
  <c r="D166" i="6"/>
  <c r="C166" i="6"/>
  <c r="E165" i="6"/>
  <c r="D165" i="6"/>
  <c r="C165" i="6"/>
  <c r="F165" i="6"/>
  <c r="G165" i="6"/>
  <c r="H165" i="6"/>
  <c r="H164" i="6"/>
  <c r="G164" i="6"/>
  <c r="F164" i="6"/>
  <c r="E164" i="6"/>
  <c r="D164" i="6"/>
  <c r="C164" i="6"/>
  <c r="B48" i="4" l="1"/>
  <c r="B47" i="4"/>
  <c r="C67" i="2" l="1"/>
  <c r="C53" i="2"/>
  <c r="C52" i="2"/>
  <c r="C38" i="2"/>
  <c r="C37" i="2"/>
  <c r="K26" i="4" l="1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D32" i="4" l="1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C32" i="4"/>
  <c r="D193" i="2" l="1"/>
  <c r="E193" i="2"/>
  <c r="F193" i="2"/>
  <c r="C193" i="2"/>
  <c r="O18" i="3"/>
  <c r="C94" i="2" l="1"/>
  <c r="C30" i="2"/>
  <c r="D128" i="6"/>
  <c r="D129" i="6"/>
  <c r="D130" i="6"/>
  <c r="D127" i="6"/>
  <c r="D146" i="6"/>
  <c r="D147" i="6"/>
  <c r="D148" i="6"/>
  <c r="D145" i="6"/>
  <c r="D66" i="6" l="1"/>
  <c r="E66" i="6"/>
  <c r="D67" i="6"/>
  <c r="E67" i="6"/>
  <c r="D68" i="6"/>
  <c r="E68" i="6"/>
  <c r="D69" i="6"/>
  <c r="E69" i="6"/>
  <c r="E65" i="6"/>
  <c r="D65" i="6"/>
  <c r="C1" i="6" l="1"/>
  <c r="K30" i="4" l="1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A32" i="5" l="1"/>
  <c r="C150" i="6" l="1"/>
  <c r="D150" i="6" s="1"/>
  <c r="C132" i="6"/>
  <c r="D151" i="6" l="1"/>
  <c r="C39" i="6"/>
  <c r="D132" i="6" l="1"/>
  <c r="D133" i="6" s="1"/>
  <c r="W10" i="4" l="1"/>
  <c r="X10" i="4"/>
  <c r="Y10" i="4"/>
  <c r="Z10" i="4"/>
  <c r="AA10" i="4"/>
  <c r="AA24" i="4"/>
  <c r="AA25" i="4"/>
  <c r="AA31" i="4"/>
  <c r="C168" i="2" l="1"/>
  <c r="C166" i="2"/>
  <c r="C165" i="2"/>
  <c r="C135" i="2"/>
  <c r="C133" i="2"/>
  <c r="C132" i="2"/>
  <c r="C13" i="6" s="1"/>
  <c r="D168" i="2"/>
  <c r="C29" i="3"/>
  <c r="D135" i="2"/>
  <c r="C23" i="3"/>
  <c r="C17" i="6"/>
  <c r="C18" i="6"/>
  <c r="C19" i="6"/>
  <c r="C20" i="6"/>
  <c r="C16" i="6"/>
  <c r="D11" i="6"/>
  <c r="C175" i="6" l="1"/>
  <c r="C171" i="6"/>
  <c r="C174" i="6"/>
  <c r="C172" i="6"/>
  <c r="C173" i="6"/>
  <c r="C72" i="6"/>
  <c r="C75" i="6"/>
  <c r="C73" i="6"/>
  <c r="C71" i="6"/>
  <c r="C74" i="6"/>
  <c r="D18" i="6"/>
  <c r="D19" i="6"/>
  <c r="C28" i="6"/>
  <c r="D16" i="6"/>
  <c r="D17" i="6"/>
  <c r="C21" i="6"/>
  <c r="C27" i="6"/>
  <c r="D20" i="6"/>
  <c r="D73" i="6" l="1"/>
  <c r="D75" i="6"/>
  <c r="D72" i="6"/>
  <c r="C97" i="6"/>
  <c r="D71" i="6"/>
  <c r="D74" i="6"/>
  <c r="E19" i="6"/>
  <c r="E18" i="6"/>
  <c r="C22" i="6"/>
  <c r="C139" i="6" s="1"/>
  <c r="C115" i="6"/>
  <c r="E17" i="6"/>
  <c r="E16" i="6"/>
  <c r="C76" i="6"/>
  <c r="D21" i="6"/>
  <c r="D25" i="6" s="1"/>
  <c r="D171" i="6" s="1"/>
  <c r="E20" i="6"/>
  <c r="E73" i="6" l="1"/>
  <c r="E75" i="6"/>
  <c r="E72" i="6"/>
  <c r="E74" i="6"/>
  <c r="D172" i="6"/>
  <c r="D76" i="6"/>
  <c r="E71" i="6"/>
  <c r="F19" i="6"/>
  <c r="F18" i="6"/>
  <c r="C141" i="6"/>
  <c r="F16" i="6"/>
  <c r="F17" i="6"/>
  <c r="D22" i="6"/>
  <c r="D139" i="6" s="1"/>
  <c r="D26" i="6"/>
  <c r="F20" i="6"/>
  <c r="E21" i="6"/>
  <c r="F72" i="6" l="1"/>
  <c r="F73" i="6"/>
  <c r="F74" i="6"/>
  <c r="D174" i="6"/>
  <c r="D173" i="6"/>
  <c r="D175" i="6"/>
  <c r="F75" i="6"/>
  <c r="F71" i="6"/>
  <c r="G18" i="6"/>
  <c r="D27" i="6"/>
  <c r="D28" i="6"/>
  <c r="G19" i="6"/>
  <c r="D141" i="6"/>
  <c r="E22" i="6"/>
  <c r="E139" i="6" s="1"/>
  <c r="E76" i="6"/>
  <c r="G16" i="6"/>
  <c r="G17" i="6"/>
  <c r="E25" i="6"/>
  <c r="E26" i="6"/>
  <c r="G20" i="6"/>
  <c r="F21" i="6"/>
  <c r="G73" i="6" l="1"/>
  <c r="G75" i="6"/>
  <c r="G74" i="6"/>
  <c r="G72" i="6"/>
  <c r="E171" i="6"/>
  <c r="E172" i="6"/>
  <c r="E173" i="6"/>
  <c r="E175" i="6"/>
  <c r="E174" i="6"/>
  <c r="G71" i="6"/>
  <c r="D97" i="6"/>
  <c r="D115" i="6"/>
  <c r="E28" i="6"/>
  <c r="H19" i="6"/>
  <c r="E27" i="6"/>
  <c r="H18" i="6"/>
  <c r="E141" i="6"/>
  <c r="F22" i="6"/>
  <c r="F139" i="6" s="1"/>
  <c r="H17" i="6"/>
  <c r="H16" i="6"/>
  <c r="F76" i="6"/>
  <c r="F26" i="6"/>
  <c r="F25" i="6"/>
  <c r="H20" i="6"/>
  <c r="G21" i="6"/>
  <c r="H73" i="6" l="1"/>
  <c r="H74" i="6"/>
  <c r="H75" i="6"/>
  <c r="F173" i="6"/>
  <c r="F175" i="6"/>
  <c r="F174" i="6"/>
  <c r="F171" i="6"/>
  <c r="F172" i="6"/>
  <c r="H72" i="6"/>
  <c r="E97" i="6"/>
  <c r="H71" i="6"/>
  <c r="F27" i="6"/>
  <c r="E115" i="6"/>
  <c r="I18" i="6"/>
  <c r="F28" i="6"/>
  <c r="I19" i="6"/>
  <c r="F141" i="6"/>
  <c r="G22" i="6"/>
  <c r="G139" i="6" s="1"/>
  <c r="I16" i="6"/>
  <c r="G76" i="6"/>
  <c r="I17" i="6"/>
  <c r="G25" i="6"/>
  <c r="G26" i="6"/>
  <c r="I20" i="6"/>
  <c r="H21" i="6"/>
  <c r="I75" i="6" l="1"/>
  <c r="I72" i="6"/>
  <c r="I73" i="6"/>
  <c r="I74" i="6"/>
  <c r="G171" i="6"/>
  <c r="G172" i="6"/>
  <c r="G174" i="6"/>
  <c r="G173" i="6"/>
  <c r="G175" i="6"/>
  <c r="F97" i="6"/>
  <c r="I71" i="6"/>
  <c r="G27" i="6"/>
  <c r="J18" i="6"/>
  <c r="F115" i="6"/>
  <c r="G28" i="6"/>
  <c r="J19" i="6"/>
  <c r="G141" i="6"/>
  <c r="H22" i="6"/>
  <c r="H139" i="6" s="1"/>
  <c r="H76" i="6"/>
  <c r="J17" i="6"/>
  <c r="J16" i="6"/>
  <c r="H26" i="6"/>
  <c r="H25" i="6"/>
  <c r="J20" i="6"/>
  <c r="I21" i="6"/>
  <c r="J72" i="6" l="1"/>
  <c r="J75" i="6"/>
  <c r="J74" i="6"/>
  <c r="J73" i="6"/>
  <c r="H173" i="6"/>
  <c r="H175" i="6"/>
  <c r="H174" i="6"/>
  <c r="H171" i="6"/>
  <c r="H172" i="6"/>
  <c r="J71" i="6"/>
  <c r="G97" i="6"/>
  <c r="H28" i="6"/>
  <c r="K19" i="6"/>
  <c r="K18" i="6"/>
  <c r="G115" i="6"/>
  <c r="H27" i="6"/>
  <c r="H141" i="6"/>
  <c r="I22" i="6"/>
  <c r="I139" i="6" s="1"/>
  <c r="K16" i="6"/>
  <c r="I76" i="6"/>
  <c r="K17" i="6"/>
  <c r="I26" i="6"/>
  <c r="I25" i="6"/>
  <c r="K20" i="6"/>
  <c r="J21" i="6"/>
  <c r="K75" i="6" l="1"/>
  <c r="K72" i="6"/>
  <c r="K74" i="6"/>
  <c r="K73" i="6"/>
  <c r="I174" i="6"/>
  <c r="I175" i="6"/>
  <c r="I173" i="6"/>
  <c r="I172" i="6"/>
  <c r="I171" i="6"/>
  <c r="K71" i="6"/>
  <c r="H97" i="6"/>
  <c r="I27" i="6"/>
  <c r="H115" i="6"/>
  <c r="I28" i="6"/>
  <c r="L19" i="6"/>
  <c r="L18" i="6"/>
  <c r="I141" i="6"/>
  <c r="J22" i="6"/>
  <c r="J139" i="6" s="1"/>
  <c r="L17" i="6"/>
  <c r="J76" i="6"/>
  <c r="L16" i="6"/>
  <c r="J26" i="6"/>
  <c r="J25" i="6"/>
  <c r="L20" i="6"/>
  <c r="K21" i="6"/>
  <c r="L75" i="6" l="1"/>
  <c r="L73" i="6"/>
  <c r="J175" i="6"/>
  <c r="J173" i="6"/>
  <c r="J174" i="6"/>
  <c r="J171" i="6"/>
  <c r="J172" i="6"/>
  <c r="L72" i="6"/>
  <c r="L74" i="6"/>
  <c r="L71" i="6"/>
  <c r="I97" i="6"/>
  <c r="I115" i="6"/>
  <c r="M18" i="6"/>
  <c r="J27" i="6"/>
  <c r="J28" i="6"/>
  <c r="M19" i="6"/>
  <c r="J141" i="6"/>
  <c r="K22" i="6"/>
  <c r="K139" i="6" s="1"/>
  <c r="K76" i="6"/>
  <c r="M16" i="6"/>
  <c r="M17" i="6"/>
  <c r="K25" i="6"/>
  <c r="K26" i="6"/>
  <c r="M20" i="6"/>
  <c r="L21" i="6"/>
  <c r="M72" i="6" l="1"/>
  <c r="M75" i="6"/>
  <c r="M74" i="6"/>
  <c r="M73" i="6"/>
  <c r="K172" i="6"/>
  <c r="K171" i="6"/>
  <c r="K173" i="6"/>
  <c r="K175" i="6"/>
  <c r="K174" i="6"/>
  <c r="M71" i="6"/>
  <c r="J97" i="6"/>
  <c r="K28" i="6"/>
  <c r="N19" i="6"/>
  <c r="K27" i="6"/>
  <c r="J115" i="6"/>
  <c r="N18" i="6"/>
  <c r="K141" i="6"/>
  <c r="L22" i="6"/>
  <c r="L139" i="6" s="1"/>
  <c r="N17" i="6"/>
  <c r="N16" i="6"/>
  <c r="L76" i="6"/>
  <c r="L26" i="6"/>
  <c r="L25" i="6"/>
  <c r="N20" i="6"/>
  <c r="M21" i="6"/>
  <c r="N75" i="6" l="1"/>
  <c r="L173" i="6"/>
  <c r="L174" i="6"/>
  <c r="L175" i="6"/>
  <c r="N73" i="6"/>
  <c r="N74" i="6"/>
  <c r="L172" i="6"/>
  <c r="L171" i="6"/>
  <c r="N72" i="6"/>
  <c r="N71" i="6"/>
  <c r="K97" i="6"/>
  <c r="L27" i="6"/>
  <c r="O18" i="6"/>
  <c r="L28" i="6"/>
  <c r="K115" i="6"/>
  <c r="O19" i="6"/>
  <c r="L141" i="6"/>
  <c r="M22" i="6"/>
  <c r="M139" i="6" s="1"/>
  <c r="M76" i="6"/>
  <c r="O16" i="6"/>
  <c r="O17" i="6"/>
  <c r="M25" i="6"/>
  <c r="M26" i="6"/>
  <c r="O20" i="6"/>
  <c r="N21" i="6"/>
  <c r="O74" i="6" l="1"/>
  <c r="O73" i="6"/>
  <c r="O75" i="6"/>
  <c r="O72" i="6"/>
  <c r="M171" i="6"/>
  <c r="M172" i="6"/>
  <c r="M174" i="6"/>
  <c r="M175" i="6"/>
  <c r="M173" i="6"/>
  <c r="L97" i="6"/>
  <c r="O71" i="6"/>
  <c r="M27" i="6"/>
  <c r="P19" i="6"/>
  <c r="L115" i="6"/>
  <c r="M28" i="6"/>
  <c r="P18" i="6"/>
  <c r="M141" i="6"/>
  <c r="N22" i="6"/>
  <c r="N139" i="6" s="1"/>
  <c r="N76" i="6"/>
  <c r="P17" i="6"/>
  <c r="P16" i="6"/>
  <c r="N25" i="6"/>
  <c r="N26" i="6"/>
  <c r="P20" i="6"/>
  <c r="O21" i="6"/>
  <c r="P72" i="6" l="1"/>
  <c r="P74" i="6"/>
  <c r="N172" i="6"/>
  <c r="N171" i="6"/>
  <c r="P75" i="6"/>
  <c r="P73" i="6"/>
  <c r="N173" i="6"/>
  <c r="N175" i="6"/>
  <c r="N174" i="6"/>
  <c r="P71" i="6"/>
  <c r="M97" i="6"/>
  <c r="M115" i="6"/>
  <c r="Q18" i="6"/>
  <c r="N27" i="6"/>
  <c r="Q19" i="6"/>
  <c r="N28" i="6"/>
  <c r="N141" i="6"/>
  <c r="O22" i="6"/>
  <c r="O139" i="6" s="1"/>
  <c r="Q16" i="6"/>
  <c r="O76" i="6"/>
  <c r="Q17" i="6"/>
  <c r="O25" i="6"/>
  <c r="O26" i="6"/>
  <c r="Q20" i="6"/>
  <c r="P21" i="6"/>
  <c r="Q73" i="6" l="1"/>
  <c r="Q75" i="6"/>
  <c r="Q72" i="6"/>
  <c r="O171" i="6"/>
  <c r="O172" i="6"/>
  <c r="O173" i="6"/>
  <c r="O175" i="6"/>
  <c r="O174" i="6"/>
  <c r="Q74" i="6"/>
  <c r="N97" i="6"/>
  <c r="Q71" i="6"/>
  <c r="O28" i="6"/>
  <c r="N115" i="6"/>
  <c r="R19" i="6"/>
  <c r="R18" i="6"/>
  <c r="O141" i="6"/>
  <c r="P22" i="6"/>
  <c r="P139" i="6" s="1"/>
  <c r="P76" i="6"/>
  <c r="R16" i="6"/>
  <c r="P25" i="6"/>
  <c r="O27" i="6"/>
  <c r="R17" i="6"/>
  <c r="P26" i="6"/>
  <c r="R20" i="6"/>
  <c r="Q21" i="6"/>
  <c r="P172" i="6" l="1"/>
  <c r="P171" i="6"/>
  <c r="R72" i="6"/>
  <c r="R74" i="6"/>
  <c r="R75" i="6"/>
  <c r="P174" i="6"/>
  <c r="P175" i="6"/>
  <c r="P173" i="6"/>
  <c r="R73" i="6"/>
  <c r="O97" i="6"/>
  <c r="R71" i="6"/>
  <c r="P27" i="6"/>
  <c r="S18" i="6"/>
  <c r="S19" i="6"/>
  <c r="P28" i="6"/>
  <c r="P141" i="6"/>
  <c r="Q22" i="6"/>
  <c r="Q139" i="6" s="1"/>
  <c r="Q76" i="6"/>
  <c r="S17" i="6"/>
  <c r="S16" i="6"/>
  <c r="O115" i="6"/>
  <c r="Q26" i="6"/>
  <c r="Q25" i="6"/>
  <c r="S20" i="6"/>
  <c r="R21" i="6"/>
  <c r="S73" i="6" l="1"/>
  <c r="S75" i="6"/>
  <c r="Q175" i="6"/>
  <c r="Q174" i="6"/>
  <c r="Q173" i="6"/>
  <c r="S74" i="6"/>
  <c r="Q172" i="6"/>
  <c r="Q171" i="6"/>
  <c r="S72" i="6"/>
  <c r="S71" i="6"/>
  <c r="P97" i="6"/>
  <c r="T19" i="6"/>
  <c r="Q27" i="6"/>
  <c r="Q28" i="6"/>
  <c r="P115" i="6"/>
  <c r="T18" i="6"/>
  <c r="Q141" i="6"/>
  <c r="R22" i="6"/>
  <c r="R139" i="6" s="1"/>
  <c r="R76" i="6"/>
  <c r="T17" i="6"/>
  <c r="T16" i="6"/>
  <c r="R25" i="6"/>
  <c r="R26" i="6"/>
  <c r="T20" i="6"/>
  <c r="S21" i="6"/>
  <c r="T72" i="6" l="1"/>
  <c r="T73" i="6"/>
  <c r="T75" i="6"/>
  <c r="T74" i="6"/>
  <c r="R172" i="6"/>
  <c r="R171" i="6"/>
  <c r="R175" i="6"/>
  <c r="R173" i="6"/>
  <c r="R174" i="6"/>
  <c r="Q115" i="6"/>
  <c r="Q97" i="6"/>
  <c r="T71" i="6"/>
  <c r="U18" i="6"/>
  <c r="U19" i="6"/>
  <c r="R28" i="6"/>
  <c r="R27" i="6"/>
  <c r="R141" i="6"/>
  <c r="S22" i="6"/>
  <c r="S139" i="6" s="1"/>
  <c r="U16" i="6"/>
  <c r="U17" i="6"/>
  <c r="S76" i="6"/>
  <c r="S25" i="6"/>
  <c r="S26" i="6"/>
  <c r="U20" i="6"/>
  <c r="T21" i="6"/>
  <c r="U75" i="6" l="1"/>
  <c r="U72" i="6"/>
  <c r="U74" i="6"/>
  <c r="U73" i="6"/>
  <c r="S171" i="6"/>
  <c r="S172" i="6"/>
  <c r="S175" i="6"/>
  <c r="S173" i="6"/>
  <c r="S174" i="6"/>
  <c r="R97" i="6"/>
  <c r="U71" i="6"/>
  <c r="R115" i="6"/>
  <c r="V19" i="6"/>
  <c r="S28" i="6"/>
  <c r="V18" i="6"/>
  <c r="S27" i="6"/>
  <c r="S141" i="6"/>
  <c r="T22" i="6"/>
  <c r="T139" i="6" s="1"/>
  <c r="T76" i="6"/>
  <c r="V17" i="6"/>
  <c r="V16" i="6"/>
  <c r="T25" i="6"/>
  <c r="T26" i="6"/>
  <c r="V20" i="6"/>
  <c r="U21" i="6"/>
  <c r="V72" i="6" l="1"/>
  <c r="V74" i="6"/>
  <c r="V75" i="6"/>
  <c r="T171" i="6"/>
  <c r="T172" i="6"/>
  <c r="T173" i="6"/>
  <c r="T175" i="6"/>
  <c r="T174" i="6"/>
  <c r="V73" i="6"/>
  <c r="S97" i="6"/>
  <c r="V71" i="6"/>
  <c r="W18" i="6"/>
  <c r="W19" i="6"/>
  <c r="S115" i="6"/>
  <c r="T28" i="6"/>
  <c r="T27" i="6"/>
  <c r="T141" i="6"/>
  <c r="U22" i="6"/>
  <c r="U139" i="6" s="1"/>
  <c r="U76" i="6"/>
  <c r="W17" i="6"/>
  <c r="W16" i="6"/>
  <c r="U25" i="6"/>
  <c r="U26" i="6"/>
  <c r="W20" i="6"/>
  <c r="V21" i="6"/>
  <c r="W73" i="6" l="1"/>
  <c r="W74" i="6"/>
  <c r="W75" i="6"/>
  <c r="W72" i="6"/>
  <c r="U172" i="6"/>
  <c r="U171" i="6"/>
  <c r="U173" i="6"/>
  <c r="U175" i="6"/>
  <c r="U174" i="6"/>
  <c r="W71" i="6"/>
  <c r="T97" i="6"/>
  <c r="U28" i="6"/>
  <c r="U27" i="6"/>
  <c r="T115" i="6"/>
  <c r="X18" i="6"/>
  <c r="X19" i="6"/>
  <c r="U141" i="6"/>
  <c r="V22" i="6"/>
  <c r="V139" i="6" s="1"/>
  <c r="X17" i="6"/>
  <c r="V76" i="6"/>
  <c r="X16" i="6"/>
  <c r="V26" i="6"/>
  <c r="V25" i="6"/>
  <c r="X20" i="6"/>
  <c r="W21" i="6"/>
  <c r="X74" i="6" l="1"/>
  <c r="V174" i="6"/>
  <c r="V175" i="6"/>
  <c r="V173" i="6"/>
  <c r="X75" i="6"/>
  <c r="V171" i="6"/>
  <c r="V172" i="6"/>
  <c r="X72" i="6"/>
  <c r="X73" i="6"/>
  <c r="U97" i="6"/>
  <c r="X71" i="6"/>
  <c r="U115" i="6"/>
  <c r="V28" i="6"/>
  <c r="Y19" i="6"/>
  <c r="V27" i="6"/>
  <c r="Y18" i="6"/>
  <c r="V141" i="6"/>
  <c r="W22" i="6"/>
  <c r="W139" i="6" s="1"/>
  <c r="Y17" i="6"/>
  <c r="W76" i="6"/>
  <c r="Y16" i="6"/>
  <c r="W25" i="6"/>
  <c r="W26" i="6"/>
  <c r="Y20" i="6"/>
  <c r="X21" i="6"/>
  <c r="Y75" i="6" l="1"/>
  <c r="Y73" i="6"/>
  <c r="W171" i="6"/>
  <c r="W172" i="6"/>
  <c r="Y74" i="6"/>
  <c r="W174" i="6"/>
  <c r="W175" i="6"/>
  <c r="W173" i="6"/>
  <c r="Y72" i="6"/>
  <c r="Y71" i="6"/>
  <c r="V97" i="6"/>
  <c r="W27" i="6"/>
  <c r="W28" i="6"/>
  <c r="V115" i="6"/>
  <c r="Z18" i="6"/>
  <c r="Z19" i="6"/>
  <c r="W141" i="6"/>
  <c r="X22" i="6"/>
  <c r="X139" i="6" s="1"/>
  <c r="X76" i="6"/>
  <c r="Z16" i="6"/>
  <c r="Z17" i="6"/>
  <c r="X26" i="6"/>
  <c r="X25" i="6"/>
  <c r="Z20" i="6"/>
  <c r="Y21" i="6"/>
  <c r="Z75" i="6" l="1"/>
  <c r="Z72" i="6"/>
  <c r="X175" i="6"/>
  <c r="X174" i="6"/>
  <c r="X173" i="6"/>
  <c r="Z74" i="6"/>
  <c r="X172" i="6"/>
  <c r="X171" i="6"/>
  <c r="Z73" i="6"/>
  <c r="Z71" i="6"/>
  <c r="W97" i="6"/>
  <c r="AA18" i="6"/>
  <c r="X27" i="6"/>
  <c r="AA19" i="6"/>
  <c r="X28" i="6"/>
  <c r="W115" i="6"/>
  <c r="Y76" i="6"/>
  <c r="X141" i="6"/>
  <c r="Y22" i="6"/>
  <c r="Y139" i="6" s="1"/>
  <c r="AA16" i="6"/>
  <c r="AA17" i="6"/>
  <c r="Y26" i="6"/>
  <c r="Y25" i="6"/>
  <c r="AA20" i="6"/>
  <c r="Z21" i="6"/>
  <c r="AA75" i="6" l="1"/>
  <c r="AA73" i="6"/>
  <c r="Y173" i="6"/>
  <c r="Y174" i="6"/>
  <c r="Y175" i="6"/>
  <c r="AA74" i="6"/>
  <c r="AA72" i="6"/>
  <c r="Y172" i="6"/>
  <c r="Y171" i="6"/>
  <c r="X115" i="6"/>
  <c r="AA71" i="6"/>
  <c r="X97" i="6"/>
  <c r="Y28" i="6"/>
  <c r="Y27" i="6"/>
  <c r="Y141" i="6"/>
  <c r="Z22" i="6"/>
  <c r="Z139" i="6" s="1"/>
  <c r="Z76" i="6"/>
  <c r="Z25" i="6"/>
  <c r="AA21" i="6"/>
  <c r="Z26" i="6"/>
  <c r="Z175" i="6" l="1"/>
  <c r="Z174" i="6"/>
  <c r="Z173" i="6"/>
  <c r="Z172" i="6"/>
  <c r="Z171" i="6"/>
  <c r="Y97" i="6"/>
  <c r="Z27" i="6"/>
  <c r="Z28" i="6"/>
  <c r="Y115" i="6"/>
  <c r="Z141" i="6"/>
  <c r="AA22" i="6"/>
  <c r="AA139" i="6" s="1"/>
  <c r="C140" i="6" s="1"/>
  <c r="AA76" i="6"/>
  <c r="AA25" i="6"/>
  <c r="AA26" i="6"/>
  <c r="AA173" i="6" l="1"/>
  <c r="AA174" i="6"/>
  <c r="AA175" i="6"/>
  <c r="AA171" i="6"/>
  <c r="AA172" i="6"/>
  <c r="Z97" i="6"/>
  <c r="AA28" i="6"/>
  <c r="Z115" i="6"/>
  <c r="AA27" i="6"/>
  <c r="AA141" i="6"/>
  <c r="AA41" i="1"/>
  <c r="D222" i="2"/>
  <c r="D26" i="4" s="1"/>
  <c r="E222" i="2"/>
  <c r="E26" i="4" s="1"/>
  <c r="F222" i="2"/>
  <c r="F26" i="4" s="1"/>
  <c r="G222" i="2"/>
  <c r="G26" i="4" s="1"/>
  <c r="H222" i="2"/>
  <c r="H26" i="4" s="1"/>
  <c r="I222" i="2"/>
  <c r="I26" i="4" s="1"/>
  <c r="J222" i="2"/>
  <c r="J26" i="4" s="1"/>
  <c r="C222" i="2"/>
  <c r="C26" i="4" s="1"/>
  <c r="C167" i="2"/>
  <c r="AA231" i="2"/>
  <c r="AA236" i="2" s="1"/>
  <c r="AA100" i="2"/>
  <c r="AA108" i="2"/>
  <c r="AA112" i="2"/>
  <c r="C134" i="2"/>
  <c r="E161" i="2" s="1"/>
  <c r="G193" i="2" l="1"/>
  <c r="AA97" i="6"/>
  <c r="AA115" i="6"/>
  <c r="F160" i="2"/>
  <c r="V161" i="2"/>
  <c r="I159" i="2"/>
  <c r="Z160" i="2"/>
  <c r="X159" i="2"/>
  <c r="U160" i="2"/>
  <c r="P161" i="2"/>
  <c r="N159" i="2"/>
  <c r="K160" i="2"/>
  <c r="H161" i="2"/>
  <c r="V159" i="2"/>
  <c r="H159" i="2"/>
  <c r="R160" i="2"/>
  <c r="E160" i="2"/>
  <c r="O161" i="2"/>
  <c r="Q159" i="2"/>
  <c r="AA160" i="2"/>
  <c r="M160" i="2"/>
  <c r="X161" i="2"/>
  <c r="J161" i="2"/>
  <c r="C159" i="2"/>
  <c r="T159" i="2"/>
  <c r="M159" i="2"/>
  <c r="F159" i="2"/>
  <c r="W160" i="2"/>
  <c r="Q160" i="2"/>
  <c r="J160" i="2"/>
  <c r="AA161" i="2"/>
  <c r="T161" i="2"/>
  <c r="N161" i="2"/>
  <c r="F161" i="2"/>
  <c r="Y159" i="2"/>
  <c r="R159" i="2"/>
  <c r="L159" i="2"/>
  <c r="D159" i="2"/>
  <c r="V160" i="2"/>
  <c r="O160" i="2"/>
  <c r="G160" i="2"/>
  <c r="Z161" i="2"/>
  <c r="S161" i="2"/>
  <c r="K161" i="2"/>
  <c r="D161" i="2"/>
  <c r="Z159" i="2"/>
  <c r="U159" i="2"/>
  <c r="P159" i="2"/>
  <c r="J159" i="2"/>
  <c r="E159" i="2"/>
  <c r="Y160" i="2"/>
  <c r="S160" i="2"/>
  <c r="N160" i="2"/>
  <c r="I160" i="2"/>
  <c r="C161" i="2"/>
  <c r="W161" i="2"/>
  <c r="R161" i="2"/>
  <c r="L161" i="2"/>
  <c r="G161" i="2"/>
  <c r="AA159" i="2"/>
  <c r="W159" i="2"/>
  <c r="S159" i="2"/>
  <c r="O159" i="2"/>
  <c r="K159" i="2"/>
  <c r="G159" i="2"/>
  <c r="C160" i="2"/>
  <c r="X160" i="2"/>
  <c r="T160" i="2"/>
  <c r="P160" i="2"/>
  <c r="L160" i="2"/>
  <c r="H160" i="2"/>
  <c r="D160" i="2"/>
  <c r="Y161" i="2"/>
  <c r="U161" i="2"/>
  <c r="Q161" i="2"/>
  <c r="M161" i="2"/>
  <c r="I161" i="2"/>
  <c r="H193" i="2" l="1"/>
  <c r="V162" i="2"/>
  <c r="G162" i="2"/>
  <c r="W162" i="2"/>
  <c r="N162" i="2"/>
  <c r="Q162" i="2"/>
  <c r="T162" i="2"/>
  <c r="K162" i="2"/>
  <c r="Z162" i="2"/>
  <c r="X162" i="2"/>
  <c r="H162" i="2"/>
  <c r="E162" i="2"/>
  <c r="O162" i="2"/>
  <c r="S162" i="2"/>
  <c r="I162" i="2"/>
  <c r="D162" i="2"/>
  <c r="M162" i="2"/>
  <c r="J162" i="2"/>
  <c r="L162" i="2"/>
  <c r="AA162" i="2"/>
  <c r="P162" i="2"/>
  <c r="R162" i="2"/>
  <c r="C162" i="2"/>
  <c r="U162" i="2"/>
  <c r="Y162" i="2"/>
  <c r="F162" i="2"/>
  <c r="I193" i="2" l="1"/>
  <c r="J193" i="2" l="1"/>
  <c r="K193" i="2" l="1"/>
  <c r="L193" i="2" l="1"/>
  <c r="C231" i="2"/>
  <c r="Y108" i="2"/>
  <c r="M193" i="2" l="1"/>
  <c r="D95" i="1"/>
  <c r="E95" i="1"/>
  <c r="C95" i="1"/>
  <c r="D82" i="1"/>
  <c r="E82" i="1"/>
  <c r="C82" i="1"/>
  <c r="AA104" i="2"/>
  <c r="N193" i="2" l="1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C32" i="5"/>
  <c r="O193" i="2" l="1"/>
  <c r="P193" i="2" l="1"/>
  <c r="C16" i="3"/>
  <c r="C10" i="3"/>
  <c r="C43" i="1"/>
  <c r="C29" i="1"/>
  <c r="D14" i="3"/>
  <c r="E14" i="3" s="1"/>
  <c r="C1" i="5"/>
  <c r="E59" i="1"/>
  <c r="A64" i="1" s="1"/>
  <c r="F59" i="1"/>
  <c r="A65" i="1" s="1"/>
  <c r="G59" i="1"/>
  <c r="A66" i="1" s="1"/>
  <c r="H59" i="1"/>
  <c r="A67" i="1" s="1"/>
  <c r="I59" i="1"/>
  <c r="A68" i="1" s="1"/>
  <c r="E60" i="1"/>
  <c r="A77" i="1" s="1"/>
  <c r="F60" i="1"/>
  <c r="A78" i="1" s="1"/>
  <c r="G60" i="1"/>
  <c r="A79" i="1" s="1"/>
  <c r="H60" i="1"/>
  <c r="I60" i="1"/>
  <c r="A81" i="1" s="1"/>
  <c r="E61" i="1"/>
  <c r="A90" i="1" s="1"/>
  <c r="F61" i="1"/>
  <c r="A91" i="1" s="1"/>
  <c r="G61" i="1"/>
  <c r="A92" i="1" s="1"/>
  <c r="H61" i="1"/>
  <c r="A93" i="1" s="1"/>
  <c r="I61" i="1"/>
  <c r="A94" i="1" s="1"/>
  <c r="K51" i="1"/>
  <c r="A80" i="1"/>
  <c r="Q193" i="2" l="1"/>
  <c r="D16" i="3"/>
  <c r="E16" i="3" s="1"/>
  <c r="F14" i="3"/>
  <c r="F73" i="1"/>
  <c r="A73" i="1"/>
  <c r="F85" i="1"/>
  <c r="A85" i="1"/>
  <c r="A97" i="1"/>
  <c r="F97" i="1"/>
  <c r="F72" i="1"/>
  <c r="A72" i="1"/>
  <c r="F84" i="1"/>
  <c r="A84" i="1"/>
  <c r="A96" i="1"/>
  <c r="F96" i="1"/>
  <c r="A100" i="1"/>
  <c r="F100" i="1"/>
  <c r="F71" i="1"/>
  <c r="A71" i="1"/>
  <c r="F83" i="1"/>
  <c r="A83" i="1"/>
  <c r="F87" i="1"/>
  <c r="A87" i="1"/>
  <c r="A99" i="1"/>
  <c r="F99" i="1"/>
  <c r="F86" i="1"/>
  <c r="A86" i="1"/>
  <c r="A98" i="1"/>
  <c r="F98" i="1"/>
  <c r="A70" i="1"/>
  <c r="A74" i="1"/>
  <c r="F70" i="1"/>
  <c r="F74" i="1"/>
  <c r="R193" i="2" l="1"/>
  <c r="F16" i="3"/>
  <c r="G14" i="3"/>
  <c r="D17" i="2"/>
  <c r="E17" i="2"/>
  <c r="F17" i="2"/>
  <c r="G17" i="2"/>
  <c r="H17" i="2"/>
  <c r="I17" i="2"/>
  <c r="J17" i="2"/>
  <c r="C17" i="2"/>
  <c r="S193" i="2" l="1"/>
  <c r="G16" i="3"/>
  <c r="H14" i="3"/>
  <c r="C1" i="2"/>
  <c r="K71" i="2"/>
  <c r="J71" i="2"/>
  <c r="I71" i="2"/>
  <c r="H71" i="2"/>
  <c r="G71" i="2"/>
  <c r="F71" i="2"/>
  <c r="E71" i="2"/>
  <c r="D71" i="2"/>
  <c r="C71" i="2"/>
  <c r="J56" i="2"/>
  <c r="I56" i="2"/>
  <c r="H56" i="2"/>
  <c r="G56" i="2"/>
  <c r="F56" i="2"/>
  <c r="E56" i="2"/>
  <c r="D56" i="2"/>
  <c r="C56" i="2"/>
  <c r="J41" i="2"/>
  <c r="I41" i="2"/>
  <c r="H41" i="2"/>
  <c r="G41" i="2"/>
  <c r="F41" i="2"/>
  <c r="E41" i="2"/>
  <c r="D41" i="2"/>
  <c r="C41" i="2"/>
  <c r="C73" i="2" l="1"/>
  <c r="T193" i="2"/>
  <c r="H16" i="3"/>
  <c r="I14" i="3"/>
  <c r="C83" i="2" l="1"/>
  <c r="C68" i="2"/>
  <c r="U193" i="2"/>
  <c r="I16" i="3"/>
  <c r="J14" i="3"/>
  <c r="V193" i="2" l="1"/>
  <c r="J16" i="3"/>
  <c r="K14" i="3"/>
  <c r="K25" i="2"/>
  <c r="K26" i="2"/>
  <c r="D16" i="2"/>
  <c r="K14" i="2"/>
  <c r="K15" i="2"/>
  <c r="K13" i="2"/>
  <c r="E16" i="2"/>
  <c r="F16" i="2"/>
  <c r="G16" i="2"/>
  <c r="H16" i="2"/>
  <c r="I16" i="2"/>
  <c r="J16" i="2"/>
  <c r="C16" i="2"/>
  <c r="W193" i="2" l="1"/>
  <c r="K16" i="3"/>
  <c r="L14" i="3"/>
  <c r="K16" i="2"/>
  <c r="K17" i="2"/>
  <c r="C39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C25" i="4"/>
  <c r="C31" i="4"/>
  <c r="D4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C4" i="4"/>
  <c r="X193" i="2" l="1"/>
  <c r="L16" i="3"/>
  <c r="M14" i="3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C228" i="2"/>
  <c r="D228" i="2"/>
  <c r="E228" i="2"/>
  <c r="F228" i="2"/>
  <c r="G228" i="2"/>
  <c r="H228" i="2"/>
  <c r="I228" i="2"/>
  <c r="J228" i="2"/>
  <c r="C1" i="4"/>
  <c r="Y193" i="2" l="1"/>
  <c r="M16" i="3"/>
  <c r="N14" i="3"/>
  <c r="F4" i="4"/>
  <c r="E4" i="4"/>
  <c r="G4" i="4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Z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C100" i="2"/>
  <c r="C1" i="1"/>
  <c r="Z193" i="2" l="1"/>
  <c r="N16" i="3"/>
  <c r="O14" i="3"/>
  <c r="H4" i="4"/>
  <c r="D231" i="2"/>
  <c r="E231" i="2"/>
  <c r="F231" i="2"/>
  <c r="G231" i="2"/>
  <c r="H231" i="2"/>
  <c r="I231" i="2"/>
  <c r="J231" i="2"/>
  <c r="K231" i="2"/>
  <c r="K236" i="2" s="1"/>
  <c r="L231" i="2"/>
  <c r="L236" i="2" s="1"/>
  <c r="M231" i="2"/>
  <c r="M236" i="2" s="1"/>
  <c r="N231" i="2"/>
  <c r="N236" i="2" s="1"/>
  <c r="O231" i="2"/>
  <c r="O236" i="2" s="1"/>
  <c r="P231" i="2"/>
  <c r="P236" i="2" s="1"/>
  <c r="Q231" i="2"/>
  <c r="Q236" i="2" s="1"/>
  <c r="R231" i="2"/>
  <c r="R236" i="2" s="1"/>
  <c r="S231" i="2"/>
  <c r="S236" i="2" s="1"/>
  <c r="T231" i="2"/>
  <c r="T236" i="2" s="1"/>
  <c r="U231" i="2"/>
  <c r="U236" i="2" s="1"/>
  <c r="V231" i="2"/>
  <c r="V236" i="2" s="1"/>
  <c r="W231" i="2"/>
  <c r="W236" i="2" s="1"/>
  <c r="X231" i="2"/>
  <c r="X236" i="2" s="1"/>
  <c r="Y231" i="2"/>
  <c r="Y236" i="2" s="1"/>
  <c r="Z231" i="2"/>
  <c r="Z236" i="2" s="1"/>
  <c r="AA193" i="2" l="1"/>
  <c r="O16" i="3"/>
  <c r="P14" i="3"/>
  <c r="I4" i="4"/>
  <c r="P16" i="3" l="1"/>
  <c r="Q14" i="3"/>
  <c r="J4" i="4"/>
  <c r="K8" i="2"/>
  <c r="K9" i="2"/>
  <c r="K11" i="2" s="1"/>
  <c r="K19" i="2" s="1"/>
  <c r="D8" i="3"/>
  <c r="C9" i="3"/>
  <c r="C86" i="2" l="1"/>
  <c r="C6" i="2"/>
  <c r="C33" i="2" s="1"/>
  <c r="C91" i="2"/>
  <c r="C90" i="2"/>
  <c r="C196" i="2"/>
  <c r="C187" i="2"/>
  <c r="F4" i="3"/>
  <c r="C15" i="6"/>
  <c r="C180" i="6" s="1"/>
  <c r="C182" i="2"/>
  <c r="Q16" i="3"/>
  <c r="D15" i="3"/>
  <c r="E15" i="3" s="1"/>
  <c r="F15" i="3" s="1"/>
  <c r="C15" i="3"/>
  <c r="E8" i="3"/>
  <c r="D10" i="3"/>
  <c r="R14" i="3"/>
  <c r="C50" i="1"/>
  <c r="C55" i="2"/>
  <c r="C70" i="2"/>
  <c r="C40" i="2"/>
  <c r="C82" i="2"/>
  <c r="C3" i="4"/>
  <c r="K10" i="2"/>
  <c r="K18" i="2" s="1"/>
  <c r="G77" i="2" s="1"/>
  <c r="H77" i="2" s="1"/>
  <c r="K4" i="4"/>
  <c r="C36" i="1"/>
  <c r="C23" i="1"/>
  <c r="C96" i="2"/>
  <c r="C122" i="2" s="1"/>
  <c r="C215" i="2"/>
  <c r="D9" i="3"/>
  <c r="C23" i="2" l="1"/>
  <c r="C63" i="2"/>
  <c r="C48" i="2"/>
  <c r="D86" i="2"/>
  <c r="D6" i="2"/>
  <c r="D33" i="2" s="1"/>
  <c r="C92" i="2"/>
  <c r="F8" i="3"/>
  <c r="G8" i="3" s="1"/>
  <c r="D91" i="2"/>
  <c r="D90" i="2"/>
  <c r="E52" i="2"/>
  <c r="E67" i="2"/>
  <c r="B77" i="2"/>
  <c r="E37" i="2"/>
  <c r="D196" i="2"/>
  <c r="D187" i="2"/>
  <c r="C11" i="2"/>
  <c r="C19" i="2" s="1"/>
  <c r="C6" i="5" s="1"/>
  <c r="C10" i="2"/>
  <c r="G4" i="3"/>
  <c r="C170" i="6"/>
  <c r="C41" i="6"/>
  <c r="C24" i="6"/>
  <c r="C70" i="6" s="1"/>
  <c r="C138" i="6"/>
  <c r="C153" i="6" s="1"/>
  <c r="D15" i="6"/>
  <c r="D180" i="6" s="1"/>
  <c r="D182" i="2"/>
  <c r="C142" i="2"/>
  <c r="C37" i="4"/>
  <c r="C16" i="4"/>
  <c r="C18" i="4" s="1"/>
  <c r="C46" i="4" s="1"/>
  <c r="R16" i="3"/>
  <c r="E10" i="3"/>
  <c r="G15" i="3"/>
  <c r="F40" i="5"/>
  <c r="F66" i="5"/>
  <c r="F62" i="5"/>
  <c r="F52" i="5"/>
  <c r="F29" i="5"/>
  <c r="F16" i="5"/>
  <c r="F4" i="5"/>
  <c r="F10" i="5"/>
  <c r="C62" i="5"/>
  <c r="C52" i="5"/>
  <c r="C66" i="5"/>
  <c r="C40" i="5"/>
  <c r="C10" i="5"/>
  <c r="C29" i="5"/>
  <c r="C16" i="5"/>
  <c r="C4" i="5"/>
  <c r="E66" i="5"/>
  <c r="E62" i="5"/>
  <c r="E52" i="5"/>
  <c r="E40" i="5"/>
  <c r="E16" i="5"/>
  <c r="E10" i="5"/>
  <c r="E4" i="5"/>
  <c r="E29" i="5"/>
  <c r="D62" i="5"/>
  <c r="D52" i="5"/>
  <c r="D66" i="5"/>
  <c r="D40" i="5"/>
  <c r="D4" i="5"/>
  <c r="D29" i="5"/>
  <c r="D16" i="5"/>
  <c r="D10" i="5"/>
  <c r="S14" i="3"/>
  <c r="D50" i="1"/>
  <c r="D70" i="2"/>
  <c r="D40" i="2"/>
  <c r="D55" i="2"/>
  <c r="D82" i="2"/>
  <c r="C21" i="4"/>
  <c r="D3" i="4"/>
  <c r="D21" i="4" s="1"/>
  <c r="E9" i="3"/>
  <c r="C7" i="1"/>
  <c r="L4" i="4"/>
  <c r="D36" i="1"/>
  <c r="D23" i="1"/>
  <c r="D215" i="2"/>
  <c r="D96" i="2"/>
  <c r="D122" i="2" s="1"/>
  <c r="D48" i="2" l="1"/>
  <c r="D63" i="2"/>
  <c r="D23" i="2"/>
  <c r="E86" i="2"/>
  <c r="E6" i="2"/>
  <c r="E33" i="2" s="1"/>
  <c r="E91" i="2"/>
  <c r="E90" i="2"/>
  <c r="H8" i="3"/>
  <c r="F91" i="2"/>
  <c r="F90" i="2"/>
  <c r="D92" i="2"/>
  <c r="F10" i="3"/>
  <c r="E196" i="2"/>
  <c r="E187" i="2"/>
  <c r="S16" i="3"/>
  <c r="H4" i="3"/>
  <c r="E23" i="2"/>
  <c r="C18" i="2"/>
  <c r="C5" i="5" s="1"/>
  <c r="C8" i="5" s="1"/>
  <c r="D11" i="2"/>
  <c r="D19" i="2" s="1"/>
  <c r="D6" i="5" s="1"/>
  <c r="D10" i="2"/>
  <c r="C96" i="6"/>
  <c r="C79" i="6"/>
  <c r="C42" i="6"/>
  <c r="C45" i="6"/>
  <c r="C46" i="6"/>
  <c r="C43" i="6"/>
  <c r="C44" i="6"/>
  <c r="C51" i="6"/>
  <c r="D170" i="6"/>
  <c r="D41" i="6"/>
  <c r="D24" i="6"/>
  <c r="D70" i="6" s="1"/>
  <c r="D138" i="6"/>
  <c r="D153" i="6" s="1"/>
  <c r="E15" i="6"/>
  <c r="E180" i="6" s="1"/>
  <c r="E182" i="2"/>
  <c r="C37" i="1"/>
  <c r="C158" i="2"/>
  <c r="C175" i="2"/>
  <c r="C217" i="2"/>
  <c r="C23" i="4" s="1"/>
  <c r="C25" i="1"/>
  <c r="D217" i="2"/>
  <c r="D23" i="4" s="1"/>
  <c r="D142" i="2"/>
  <c r="D37" i="4"/>
  <c r="D16" i="4"/>
  <c r="H15" i="3"/>
  <c r="H52" i="5" s="1"/>
  <c r="G40" i="5"/>
  <c r="G62" i="5"/>
  <c r="G66" i="5"/>
  <c r="G52" i="5"/>
  <c r="G16" i="5"/>
  <c r="G10" i="5"/>
  <c r="G4" i="5"/>
  <c r="G29" i="5"/>
  <c r="D17" i="4"/>
  <c r="T14" i="3"/>
  <c r="C60" i="2"/>
  <c r="D57" i="2"/>
  <c r="D58" i="2" s="1"/>
  <c r="C75" i="2"/>
  <c r="D72" i="2"/>
  <c r="C45" i="2"/>
  <c r="D42" i="2"/>
  <c r="D43" i="2" s="1"/>
  <c r="E50" i="1"/>
  <c r="E82" i="2"/>
  <c r="E70" i="2"/>
  <c r="D75" i="2" s="1"/>
  <c r="E40" i="2"/>
  <c r="D45" i="2" s="1"/>
  <c r="E55" i="2"/>
  <c r="E3" i="4"/>
  <c r="F9" i="3"/>
  <c r="M4" i="4"/>
  <c r="I41" i="1"/>
  <c r="E41" i="1"/>
  <c r="E36" i="1"/>
  <c r="E23" i="1"/>
  <c r="E215" i="2"/>
  <c r="J227" i="2"/>
  <c r="E96" i="2"/>
  <c r="E122" i="2" s="1"/>
  <c r="F86" i="2" l="1"/>
  <c r="F6" i="2"/>
  <c r="F33" i="2" s="1"/>
  <c r="E63" i="2"/>
  <c r="E48" i="2"/>
  <c r="C177" i="2"/>
  <c r="C176" i="2"/>
  <c r="C178" i="2"/>
  <c r="C80" i="6"/>
  <c r="C82" i="6"/>
  <c r="C83" i="6"/>
  <c r="C84" i="6"/>
  <c r="C81" i="6"/>
  <c r="E92" i="2"/>
  <c r="T16" i="3"/>
  <c r="F92" i="2"/>
  <c r="I8" i="3"/>
  <c r="G91" i="2"/>
  <c r="G90" i="2"/>
  <c r="D59" i="2"/>
  <c r="E57" i="2" s="1"/>
  <c r="E58" i="2" s="1"/>
  <c r="E53" i="2" s="1"/>
  <c r="D53" i="2"/>
  <c r="D44" i="2"/>
  <c r="E42" i="2" s="1"/>
  <c r="E43" i="2" s="1"/>
  <c r="D38" i="2"/>
  <c r="C84" i="2"/>
  <c r="G10" i="3"/>
  <c r="F196" i="2"/>
  <c r="F187" i="2"/>
  <c r="I4" i="3"/>
  <c r="F23" i="2"/>
  <c r="D18" i="2"/>
  <c r="D5" i="5" s="1"/>
  <c r="D8" i="5" s="1"/>
  <c r="E11" i="2"/>
  <c r="E19" i="2" s="1"/>
  <c r="E6" i="5" s="1"/>
  <c r="E10" i="2"/>
  <c r="C27" i="2"/>
  <c r="C226" i="2"/>
  <c r="C24" i="4" s="1"/>
  <c r="C28" i="2"/>
  <c r="C24" i="1"/>
  <c r="C15" i="1" s="1"/>
  <c r="C221" i="2"/>
  <c r="C30" i="4" s="1"/>
  <c r="C114" i="6"/>
  <c r="C118" i="6" s="1"/>
  <c r="C101" i="6"/>
  <c r="D96" i="6"/>
  <c r="D101" i="6" s="1"/>
  <c r="D79" i="6"/>
  <c r="D42" i="6"/>
  <c r="C52" i="6"/>
  <c r="C181" i="6" s="1"/>
  <c r="C53" i="6"/>
  <c r="C183" i="6" s="1"/>
  <c r="C47" i="6"/>
  <c r="D51" i="6"/>
  <c r="D52" i="6" s="1"/>
  <c r="D43" i="6"/>
  <c r="D45" i="6"/>
  <c r="D44" i="6"/>
  <c r="D46" i="6"/>
  <c r="E170" i="6"/>
  <c r="E41" i="6"/>
  <c r="E24" i="6"/>
  <c r="E70" i="6" s="1"/>
  <c r="E138" i="6"/>
  <c r="E153" i="6" s="1"/>
  <c r="F15" i="6"/>
  <c r="F180" i="6" s="1"/>
  <c r="F182" i="2"/>
  <c r="C11" i="5"/>
  <c r="C14" i="5" s="1"/>
  <c r="D158" i="2"/>
  <c r="D175" i="2"/>
  <c r="D25" i="1"/>
  <c r="E142" i="2"/>
  <c r="D37" i="1"/>
  <c r="E37" i="4"/>
  <c r="E16" i="4"/>
  <c r="D18" i="4"/>
  <c r="I15" i="3"/>
  <c r="H62" i="5"/>
  <c r="H66" i="5"/>
  <c r="H40" i="5"/>
  <c r="H29" i="5"/>
  <c r="H16" i="5"/>
  <c r="H10" i="5"/>
  <c r="H4" i="5"/>
  <c r="U14" i="3"/>
  <c r="F50" i="1"/>
  <c r="F82" i="2"/>
  <c r="F55" i="2"/>
  <c r="E60" i="2" s="1"/>
  <c r="F40" i="2"/>
  <c r="E45" i="2" s="1"/>
  <c r="F70" i="2"/>
  <c r="E75" i="2" s="1"/>
  <c r="D60" i="2"/>
  <c r="D84" i="2" s="1"/>
  <c r="D73" i="2"/>
  <c r="E21" i="4"/>
  <c r="G9" i="3"/>
  <c r="F3" i="4"/>
  <c r="F16" i="4" s="1"/>
  <c r="N4" i="4"/>
  <c r="J41" i="1"/>
  <c r="G41" i="1"/>
  <c r="C41" i="1"/>
  <c r="F41" i="1"/>
  <c r="H41" i="1"/>
  <c r="D41" i="1"/>
  <c r="F23" i="1"/>
  <c r="F36" i="1"/>
  <c r="F215" i="2"/>
  <c r="F96" i="2"/>
  <c r="F122" i="2" s="1"/>
  <c r="G86" i="2" l="1"/>
  <c r="G6" i="2"/>
  <c r="G33" i="2" s="1"/>
  <c r="F48" i="2"/>
  <c r="F63" i="2"/>
  <c r="C179" i="2"/>
  <c r="C183" i="2" s="1"/>
  <c r="D177" i="2"/>
  <c r="D176" i="2"/>
  <c r="D178" i="2"/>
  <c r="C184" i="6"/>
  <c r="C182" i="6"/>
  <c r="C185" i="6"/>
  <c r="U16" i="3"/>
  <c r="C85" i="6"/>
  <c r="C86" i="6" s="1"/>
  <c r="C41" i="5" s="1"/>
  <c r="D181" i="6"/>
  <c r="D182" i="6"/>
  <c r="D81" i="6"/>
  <c r="D83" i="6"/>
  <c r="D80" i="6"/>
  <c r="D82" i="6"/>
  <c r="D84" i="6"/>
  <c r="G92" i="2"/>
  <c r="E17" i="4"/>
  <c r="E18" i="4" s="1"/>
  <c r="D46" i="4"/>
  <c r="J8" i="3"/>
  <c r="H91" i="2"/>
  <c r="H90" i="2"/>
  <c r="D83" i="2"/>
  <c r="D68" i="2"/>
  <c r="E59" i="2"/>
  <c r="F57" i="2" s="1"/>
  <c r="E44" i="2"/>
  <c r="F42" i="2" s="1"/>
  <c r="F43" i="2" s="1"/>
  <c r="E38" i="2"/>
  <c r="H10" i="3"/>
  <c r="G196" i="2"/>
  <c r="G187" i="2"/>
  <c r="E84" i="2"/>
  <c r="C236" i="2"/>
  <c r="C224" i="2"/>
  <c r="C51" i="1"/>
  <c r="E18" i="2"/>
  <c r="E5" i="5" s="1"/>
  <c r="E8" i="5" s="1"/>
  <c r="F11" i="2"/>
  <c r="F19" i="2" s="1"/>
  <c r="F6" i="5" s="1"/>
  <c r="F10" i="2"/>
  <c r="D27" i="2"/>
  <c r="D226" i="2"/>
  <c r="J4" i="3"/>
  <c r="D28" i="2"/>
  <c r="D221" i="2"/>
  <c r="D30" i="4" s="1"/>
  <c r="D24" i="1"/>
  <c r="D15" i="1" s="1"/>
  <c r="C49" i="6"/>
  <c r="C154" i="6" s="1"/>
  <c r="C156" i="6" s="1"/>
  <c r="C157" i="6" s="1"/>
  <c r="C44" i="5" s="1"/>
  <c r="C54" i="6"/>
  <c r="C57" i="6" s="1"/>
  <c r="C55" i="6"/>
  <c r="C58" i="6" s="1"/>
  <c r="D114" i="6"/>
  <c r="D118" i="6" s="1"/>
  <c r="E42" i="6"/>
  <c r="E96" i="6"/>
  <c r="E101" i="6" s="1"/>
  <c r="E79" i="6"/>
  <c r="D53" i="6"/>
  <c r="D185" i="6" s="1"/>
  <c r="C48" i="6"/>
  <c r="E51" i="6"/>
  <c r="E43" i="6"/>
  <c r="E44" i="6"/>
  <c r="E46" i="6"/>
  <c r="E45" i="6"/>
  <c r="D47" i="6"/>
  <c r="F170" i="6"/>
  <c r="F41" i="6"/>
  <c r="F24" i="6"/>
  <c r="F70" i="6" s="1"/>
  <c r="F138" i="6"/>
  <c r="F153" i="6" s="1"/>
  <c r="G3" i="4"/>
  <c r="G37" i="4" s="1"/>
  <c r="G15" i="6"/>
  <c r="G180" i="6" s="1"/>
  <c r="G182" i="2"/>
  <c r="E25" i="1"/>
  <c r="D11" i="5"/>
  <c r="D14" i="5" s="1"/>
  <c r="E217" i="2"/>
  <c r="E23" i="4" s="1"/>
  <c r="E158" i="2"/>
  <c r="E175" i="2"/>
  <c r="E37" i="1"/>
  <c r="F142" i="2"/>
  <c r="F21" i="4"/>
  <c r="F37" i="4"/>
  <c r="J15" i="3"/>
  <c r="I66" i="5"/>
  <c r="I62" i="5"/>
  <c r="I52" i="5"/>
  <c r="I40" i="5"/>
  <c r="I16" i="5"/>
  <c r="I4" i="5"/>
  <c r="I29" i="5"/>
  <c r="I10" i="5"/>
  <c r="D74" i="2"/>
  <c r="E72" i="2" s="1"/>
  <c r="V14" i="3"/>
  <c r="V16" i="3" s="1"/>
  <c r="G50" i="1"/>
  <c r="G70" i="2"/>
  <c r="F75" i="2" s="1"/>
  <c r="G82" i="2"/>
  <c r="G55" i="2"/>
  <c r="F60" i="2" s="1"/>
  <c r="G40" i="2"/>
  <c r="F45" i="2" s="1"/>
  <c r="H9" i="3"/>
  <c r="O4" i="4"/>
  <c r="G36" i="1"/>
  <c r="G23" i="1"/>
  <c r="C22" i="4"/>
  <c r="G215" i="2"/>
  <c r="G96" i="2"/>
  <c r="G122" i="2" s="1"/>
  <c r="H86" i="2" l="1"/>
  <c r="H6" i="2"/>
  <c r="H33" i="2" s="1"/>
  <c r="G63" i="2"/>
  <c r="G48" i="2"/>
  <c r="G23" i="2"/>
  <c r="C29" i="4"/>
  <c r="C28" i="4" s="1"/>
  <c r="C42" i="4" s="1"/>
  <c r="D179" i="2"/>
  <c r="D29" i="4" s="1"/>
  <c r="E176" i="2"/>
  <c r="E178" i="2"/>
  <c r="E177" i="2"/>
  <c r="C206" i="2"/>
  <c r="C16" i="1" s="1"/>
  <c r="C202" i="2"/>
  <c r="C197" i="2"/>
  <c r="C199" i="2" s="1"/>
  <c r="D85" i="6"/>
  <c r="D86" i="6" s="1"/>
  <c r="D41" i="5" s="1"/>
  <c r="E80" i="6"/>
  <c r="D184" i="6"/>
  <c r="D183" i="6"/>
  <c r="E84" i="6"/>
  <c r="E83" i="6"/>
  <c r="E82" i="6"/>
  <c r="E81" i="6"/>
  <c r="K8" i="3"/>
  <c r="I91" i="2"/>
  <c r="I90" i="2"/>
  <c r="F17" i="4"/>
  <c r="F18" i="4" s="1"/>
  <c r="E46" i="4"/>
  <c r="H92" i="2"/>
  <c r="E73" i="2"/>
  <c r="E74" i="2" s="1"/>
  <c r="F72" i="2" s="1"/>
  <c r="F44" i="2"/>
  <c r="G42" i="2" s="1"/>
  <c r="G43" i="2" s="1"/>
  <c r="F38" i="2"/>
  <c r="I10" i="3"/>
  <c r="H196" i="2"/>
  <c r="H187" i="2"/>
  <c r="F84" i="2"/>
  <c r="D224" i="2"/>
  <c r="D51" i="1"/>
  <c r="E28" i="2"/>
  <c r="E221" i="2"/>
  <c r="E30" i="4" s="1"/>
  <c r="E24" i="1"/>
  <c r="E15" i="1" s="1"/>
  <c r="G11" i="2"/>
  <c r="G19" i="2" s="1"/>
  <c r="G6" i="5" s="1"/>
  <c r="G10" i="2"/>
  <c r="K4" i="3"/>
  <c r="D24" i="4"/>
  <c r="D236" i="2"/>
  <c r="F18" i="2"/>
  <c r="F5" i="5" s="1"/>
  <c r="F8" i="5" s="1"/>
  <c r="E27" i="2"/>
  <c r="E226" i="2"/>
  <c r="E11" i="5"/>
  <c r="E14" i="5" s="1"/>
  <c r="G21" i="4"/>
  <c r="G16" i="4"/>
  <c r="C119" i="6"/>
  <c r="C120" i="6" s="1"/>
  <c r="C43" i="5" s="1"/>
  <c r="D54" i="6"/>
  <c r="D57" i="6" s="1"/>
  <c r="C102" i="6"/>
  <c r="C103" i="6" s="1"/>
  <c r="C42" i="5" s="1"/>
  <c r="D55" i="6"/>
  <c r="D58" i="6" s="1"/>
  <c r="E114" i="6"/>
  <c r="E118" i="6" s="1"/>
  <c r="F96" i="6"/>
  <c r="F101" i="6" s="1"/>
  <c r="F79" i="6"/>
  <c r="F42" i="6"/>
  <c r="E53" i="6"/>
  <c r="E183" i="6" s="1"/>
  <c r="E52" i="6"/>
  <c r="E182" i="6" s="1"/>
  <c r="D49" i="6"/>
  <c r="D154" i="6" s="1"/>
  <c r="D156" i="6" s="1"/>
  <c r="D157" i="6" s="1"/>
  <c r="D44" i="5" s="1"/>
  <c r="D48" i="6"/>
  <c r="F51" i="6"/>
  <c r="F43" i="6"/>
  <c r="F44" i="6"/>
  <c r="F45" i="6"/>
  <c r="F46" i="6"/>
  <c r="E47" i="6"/>
  <c r="G170" i="6"/>
  <c r="G41" i="6"/>
  <c r="G24" i="6"/>
  <c r="G70" i="6" s="1"/>
  <c r="G138" i="6"/>
  <c r="G153" i="6" s="1"/>
  <c r="H3" i="4"/>
  <c r="H37" i="4" s="1"/>
  <c r="H15" i="6"/>
  <c r="H180" i="6" s="1"/>
  <c r="H182" i="2"/>
  <c r="F25" i="1"/>
  <c r="F37" i="1"/>
  <c r="F217" i="2"/>
  <c r="F23" i="4" s="1"/>
  <c r="F158" i="2"/>
  <c r="F175" i="2"/>
  <c r="G142" i="2"/>
  <c r="K15" i="3"/>
  <c r="J40" i="5"/>
  <c r="J66" i="5"/>
  <c r="J62" i="5"/>
  <c r="J52" i="5"/>
  <c r="J29" i="5"/>
  <c r="J10" i="5"/>
  <c r="J4" i="5"/>
  <c r="J16" i="5"/>
  <c r="W14" i="3"/>
  <c r="W16" i="3" s="1"/>
  <c r="F58" i="2"/>
  <c r="F53" i="2" s="1"/>
  <c r="H50" i="1"/>
  <c r="H70" i="2"/>
  <c r="H40" i="2"/>
  <c r="G45" i="2" s="1"/>
  <c r="H82" i="2"/>
  <c r="H55" i="2"/>
  <c r="I9" i="3"/>
  <c r="P4" i="4"/>
  <c r="H36" i="1"/>
  <c r="H23" i="1"/>
  <c r="H215" i="2"/>
  <c r="H96" i="2"/>
  <c r="H122" i="2" s="1"/>
  <c r="H48" i="2" l="1"/>
  <c r="H63" i="2"/>
  <c r="I86" i="2"/>
  <c r="I6" i="2"/>
  <c r="I33" i="2" s="1"/>
  <c r="C34" i="4"/>
  <c r="C38" i="4" s="1"/>
  <c r="C40" i="4" s="1"/>
  <c r="H23" i="2"/>
  <c r="C44" i="4"/>
  <c r="D183" i="2"/>
  <c r="D202" i="2" s="1"/>
  <c r="D28" i="4"/>
  <c r="D42" i="4" s="1"/>
  <c r="F177" i="2"/>
  <c r="F176" i="2"/>
  <c r="F178" i="2"/>
  <c r="C218" i="2"/>
  <c r="C219" i="2" s="1"/>
  <c r="C238" i="2" s="1"/>
  <c r="C240" i="2" s="1"/>
  <c r="D239" i="2" s="1"/>
  <c r="C39" i="1"/>
  <c r="C27" i="1"/>
  <c r="E179" i="2"/>
  <c r="E85" i="6"/>
  <c r="E86" i="6" s="1"/>
  <c r="E41" i="5" s="1"/>
  <c r="E185" i="6"/>
  <c r="E181" i="6"/>
  <c r="E184" i="6"/>
  <c r="I92" i="2"/>
  <c r="G17" i="4"/>
  <c r="G18" i="4" s="1"/>
  <c r="F46" i="4"/>
  <c r="L8" i="3"/>
  <c r="J91" i="2"/>
  <c r="J90" i="2"/>
  <c r="E83" i="2"/>
  <c r="E68" i="2"/>
  <c r="F73" i="2"/>
  <c r="F68" i="2" s="1"/>
  <c r="G44" i="2"/>
  <c r="H42" i="2" s="1"/>
  <c r="H43" i="2" s="1"/>
  <c r="G38" i="2"/>
  <c r="J10" i="3"/>
  <c r="I196" i="2"/>
  <c r="I187" i="2"/>
  <c r="E224" i="2"/>
  <c r="D22" i="4"/>
  <c r="G18" i="2"/>
  <c r="G5" i="5" s="1"/>
  <c r="G8" i="5" s="1"/>
  <c r="L4" i="3"/>
  <c r="F221" i="2"/>
  <c r="F30" i="4" s="1"/>
  <c r="F24" i="1"/>
  <c r="F15" i="1" s="1"/>
  <c r="H11" i="2"/>
  <c r="H19" i="2" s="1"/>
  <c r="H6" i="5" s="1"/>
  <c r="H10" i="2"/>
  <c r="E51" i="1"/>
  <c r="E24" i="4"/>
  <c r="E236" i="2"/>
  <c r="E48" i="6"/>
  <c r="H21" i="4"/>
  <c r="D102" i="6"/>
  <c r="D103" i="6" s="1"/>
  <c r="D42" i="5" s="1"/>
  <c r="F84" i="6"/>
  <c r="E55" i="6"/>
  <c r="E58" i="6" s="1"/>
  <c r="F83" i="6"/>
  <c r="F82" i="6"/>
  <c r="D119" i="6"/>
  <c r="D120" i="6" s="1"/>
  <c r="D43" i="5" s="1"/>
  <c r="F81" i="6"/>
  <c r="F80" i="6"/>
  <c r="F114" i="6"/>
  <c r="F118" i="6" s="1"/>
  <c r="G96" i="6"/>
  <c r="G101" i="6" s="1"/>
  <c r="G79" i="6"/>
  <c r="G42" i="6"/>
  <c r="F52" i="6"/>
  <c r="F181" i="6" s="1"/>
  <c r="F53" i="6"/>
  <c r="F55" i="6" s="1"/>
  <c r="F58" i="6" s="1"/>
  <c r="H16" i="4"/>
  <c r="G51" i="6"/>
  <c r="G43" i="6"/>
  <c r="G44" i="6"/>
  <c r="G45" i="6"/>
  <c r="G46" i="6"/>
  <c r="E49" i="6"/>
  <c r="E154" i="6" s="1"/>
  <c r="E156" i="6" s="1"/>
  <c r="E157" i="6" s="1"/>
  <c r="E44" i="5" s="1"/>
  <c r="F47" i="6"/>
  <c r="H170" i="6"/>
  <c r="H41" i="6"/>
  <c r="H24" i="6"/>
  <c r="H70" i="6" s="1"/>
  <c r="H138" i="6"/>
  <c r="H153" i="6" s="1"/>
  <c r="I15" i="6"/>
  <c r="I180" i="6" s="1"/>
  <c r="I182" i="2"/>
  <c r="G37" i="1"/>
  <c r="F11" i="5"/>
  <c r="F14" i="5" s="1"/>
  <c r="G158" i="2"/>
  <c r="G175" i="2"/>
  <c r="G217" i="2"/>
  <c r="G23" i="4" s="1"/>
  <c r="H37" i="1"/>
  <c r="H142" i="2"/>
  <c r="G25" i="1"/>
  <c r="L15" i="3"/>
  <c r="K40" i="5"/>
  <c r="K66" i="5"/>
  <c r="K52" i="5"/>
  <c r="K62" i="5"/>
  <c r="K29" i="5"/>
  <c r="K16" i="5"/>
  <c r="K10" i="5"/>
  <c r="X14" i="3"/>
  <c r="X16" i="3" s="1"/>
  <c r="F59" i="2"/>
  <c r="G57" i="2" s="1"/>
  <c r="G58" i="2" s="1"/>
  <c r="G53" i="2" s="1"/>
  <c r="I3" i="4"/>
  <c r="I16" i="4" s="1"/>
  <c r="I50" i="1"/>
  <c r="I55" i="2"/>
  <c r="I70" i="2"/>
  <c r="I40" i="2"/>
  <c r="I82" i="2"/>
  <c r="J9" i="3"/>
  <c r="Q4" i="4"/>
  <c r="I23" i="1"/>
  <c r="I36" i="1"/>
  <c r="I215" i="2"/>
  <c r="I96" i="2"/>
  <c r="I122" i="2" s="1"/>
  <c r="C47" i="4" l="1"/>
  <c r="I63" i="2"/>
  <c r="I48" i="2"/>
  <c r="J86" i="2"/>
  <c r="J6" i="2"/>
  <c r="J33" i="2" s="1"/>
  <c r="I23" i="2"/>
  <c r="D197" i="2"/>
  <c r="D199" i="2" s="1"/>
  <c r="D34" i="4"/>
  <c r="D47" i="4" s="1"/>
  <c r="D206" i="2"/>
  <c r="D16" i="1" s="1"/>
  <c r="D44" i="4"/>
  <c r="F179" i="2"/>
  <c r="F29" i="4" s="1"/>
  <c r="F28" i="4" s="1"/>
  <c r="F42" i="4" s="1"/>
  <c r="D27" i="1"/>
  <c r="D218" i="2"/>
  <c r="D219" i="2" s="1"/>
  <c r="D238" i="2" s="1"/>
  <c r="D240" i="2" s="1"/>
  <c r="E239" i="2" s="1"/>
  <c r="D39" i="1"/>
  <c r="G176" i="2"/>
  <c r="G178" i="2"/>
  <c r="G177" i="2"/>
  <c r="E29" i="4"/>
  <c r="E28" i="4" s="1"/>
  <c r="E183" i="2"/>
  <c r="C17" i="5"/>
  <c r="C20" i="5" s="1"/>
  <c r="C53" i="1"/>
  <c r="F83" i="2"/>
  <c r="F183" i="6"/>
  <c r="F182" i="6"/>
  <c r="F184" i="6"/>
  <c r="F185" i="6"/>
  <c r="F74" i="2"/>
  <c r="G72" i="2" s="1"/>
  <c r="G73" i="2" s="1"/>
  <c r="M8" i="3"/>
  <c r="K91" i="2"/>
  <c r="K90" i="2"/>
  <c r="H17" i="4"/>
  <c r="H18" i="4" s="1"/>
  <c r="G46" i="4"/>
  <c r="J92" i="2"/>
  <c r="D39" i="4"/>
  <c r="C48" i="4"/>
  <c r="H44" i="2"/>
  <c r="I42" i="2" s="1"/>
  <c r="I43" i="2" s="1"/>
  <c r="H38" i="2"/>
  <c r="K10" i="3"/>
  <c r="K15" i="1" s="1"/>
  <c r="J196" i="2"/>
  <c r="J187" i="2"/>
  <c r="E22" i="4"/>
  <c r="H18" i="2"/>
  <c r="H5" i="5" s="1"/>
  <c r="H8" i="5" s="1"/>
  <c r="I11" i="2"/>
  <c r="I19" i="2" s="1"/>
  <c r="I6" i="5" s="1"/>
  <c r="I10" i="2"/>
  <c r="G221" i="2"/>
  <c r="G30" i="4" s="1"/>
  <c r="G24" i="1"/>
  <c r="G15" i="1" s="1"/>
  <c r="M4" i="3"/>
  <c r="F51" i="1"/>
  <c r="G84" i="6"/>
  <c r="G83" i="6"/>
  <c r="G80" i="6"/>
  <c r="F85" i="6"/>
  <c r="F86" i="6" s="1"/>
  <c r="F41" i="5" s="1"/>
  <c r="G82" i="6"/>
  <c r="G81" i="6"/>
  <c r="G114" i="6"/>
  <c r="G118" i="6" s="1"/>
  <c r="H42" i="6"/>
  <c r="H96" i="6"/>
  <c r="H101" i="6" s="1"/>
  <c r="H79" i="6"/>
  <c r="G53" i="6"/>
  <c r="G55" i="6" s="1"/>
  <c r="G58" i="6" s="1"/>
  <c r="G52" i="6"/>
  <c r="G181" i="6" s="1"/>
  <c r="F49" i="6"/>
  <c r="F154" i="6" s="1"/>
  <c r="F48" i="6"/>
  <c r="H51" i="6"/>
  <c r="H44" i="6"/>
  <c r="H46" i="6"/>
  <c r="H43" i="6"/>
  <c r="H45" i="6"/>
  <c r="G47" i="6"/>
  <c r="E54" i="6"/>
  <c r="E57" i="6" s="1"/>
  <c r="I170" i="6"/>
  <c r="I41" i="6"/>
  <c r="I24" i="6"/>
  <c r="I70" i="6" s="1"/>
  <c r="I138" i="6"/>
  <c r="I153" i="6" s="1"/>
  <c r="J15" i="6"/>
  <c r="J180" i="6" s="1"/>
  <c r="J182" i="2"/>
  <c r="G11" i="5"/>
  <c r="G14" i="5" s="1"/>
  <c r="H158" i="2"/>
  <c r="H175" i="2"/>
  <c r="H217" i="2"/>
  <c r="H23" i="4" s="1"/>
  <c r="H25" i="1"/>
  <c r="I142" i="2"/>
  <c r="H45" i="2"/>
  <c r="I37" i="4"/>
  <c r="M15" i="3"/>
  <c r="L62" i="5"/>
  <c r="L52" i="5"/>
  <c r="L66" i="5"/>
  <c r="L40" i="5"/>
  <c r="L29" i="5"/>
  <c r="L16" i="5"/>
  <c r="L10" i="5"/>
  <c r="Y14" i="3"/>
  <c r="Y16" i="3" s="1"/>
  <c r="G59" i="2"/>
  <c r="I21" i="4"/>
  <c r="J50" i="1"/>
  <c r="J82" i="2"/>
  <c r="J55" i="2"/>
  <c r="J70" i="2"/>
  <c r="J40" i="2"/>
  <c r="F224" i="2"/>
  <c r="J3" i="4"/>
  <c r="J16" i="4" s="1"/>
  <c r="K9" i="3"/>
  <c r="K86" i="2" s="1"/>
  <c r="R4" i="4"/>
  <c r="J23" i="1"/>
  <c r="J36" i="1"/>
  <c r="J215" i="2"/>
  <c r="J96" i="2"/>
  <c r="J122" i="2" s="1"/>
  <c r="J23" i="2" l="1"/>
  <c r="J48" i="2"/>
  <c r="J63" i="2"/>
  <c r="F183" i="2"/>
  <c r="F202" i="2" s="1"/>
  <c r="D38" i="4"/>
  <c r="D40" i="4" s="1"/>
  <c r="D48" i="4" s="1"/>
  <c r="E34" i="4"/>
  <c r="E47" i="4" s="1"/>
  <c r="F44" i="4"/>
  <c r="F206" i="2"/>
  <c r="F16" i="1" s="1"/>
  <c r="E206" i="2"/>
  <c r="E16" i="1" s="1"/>
  <c r="E202" i="2"/>
  <c r="E197" i="2"/>
  <c r="E199" i="2" s="1"/>
  <c r="D17" i="5"/>
  <c r="D20" i="5" s="1"/>
  <c r="D53" i="1"/>
  <c r="G179" i="2"/>
  <c r="H177" i="2"/>
  <c r="H176" i="2"/>
  <c r="H178" i="2"/>
  <c r="C67" i="5"/>
  <c r="C24" i="5"/>
  <c r="C34" i="5" s="1"/>
  <c r="C53" i="5" s="1"/>
  <c r="E44" i="4"/>
  <c r="E42" i="4"/>
  <c r="G184" i="6"/>
  <c r="G182" i="6"/>
  <c r="G185" i="6"/>
  <c r="G183" i="6"/>
  <c r="G68" i="2"/>
  <c r="G83" i="2"/>
  <c r="G74" i="2"/>
  <c r="H72" i="2" s="1"/>
  <c r="N8" i="3"/>
  <c r="L91" i="2"/>
  <c r="L90" i="2"/>
  <c r="I17" i="4"/>
  <c r="I18" i="4" s="1"/>
  <c r="I46" i="4" s="1"/>
  <c r="H46" i="4"/>
  <c r="K92" i="2"/>
  <c r="I44" i="2"/>
  <c r="J42" i="2" s="1"/>
  <c r="J43" i="2" s="1"/>
  <c r="I38" i="2"/>
  <c r="L10" i="3"/>
  <c r="L15" i="1" s="1"/>
  <c r="N4" i="3"/>
  <c r="K196" i="2"/>
  <c r="K187" i="2"/>
  <c r="I18" i="2"/>
  <c r="I5" i="5" s="1"/>
  <c r="I8" i="5" s="1"/>
  <c r="G51" i="1"/>
  <c r="H24" i="1"/>
  <c r="H15" i="1" s="1"/>
  <c r="H221" i="2"/>
  <c r="H30" i="4" s="1"/>
  <c r="J11" i="2"/>
  <c r="J19" i="2" s="1"/>
  <c r="J6" i="5" s="1"/>
  <c r="J10" i="2"/>
  <c r="G85" i="6"/>
  <c r="G86" i="6" s="1"/>
  <c r="G41" i="5" s="1"/>
  <c r="H84" i="6"/>
  <c r="H82" i="6"/>
  <c r="H83" i="6"/>
  <c r="F156" i="6"/>
  <c r="F157" i="6" s="1"/>
  <c r="F44" i="5" s="1"/>
  <c r="E102" i="6"/>
  <c r="E103" i="6" s="1"/>
  <c r="E42" i="5" s="1"/>
  <c r="E119" i="6"/>
  <c r="E120" i="6" s="1"/>
  <c r="E43" i="5" s="1"/>
  <c r="H81" i="6"/>
  <c r="H80" i="6"/>
  <c r="H114" i="6"/>
  <c r="H118" i="6" s="1"/>
  <c r="I96" i="6"/>
  <c r="I101" i="6" s="1"/>
  <c r="I79" i="6"/>
  <c r="H52" i="6"/>
  <c r="H181" i="6" s="1"/>
  <c r="H53" i="6"/>
  <c r="H55" i="6" s="1"/>
  <c r="H58" i="6" s="1"/>
  <c r="G49" i="6"/>
  <c r="G154" i="6" s="1"/>
  <c r="G48" i="6"/>
  <c r="I51" i="6"/>
  <c r="I42" i="6"/>
  <c r="I43" i="6"/>
  <c r="I44" i="6"/>
  <c r="I46" i="6"/>
  <c r="I45" i="6"/>
  <c r="F54" i="6"/>
  <c r="F57" i="6" s="1"/>
  <c r="H47" i="6"/>
  <c r="J170" i="6"/>
  <c r="J41" i="6"/>
  <c r="J24" i="6"/>
  <c r="J70" i="6" s="1"/>
  <c r="J138" i="6"/>
  <c r="J153" i="6" s="1"/>
  <c r="K15" i="6"/>
  <c r="K180" i="6" s="1"/>
  <c r="K182" i="2"/>
  <c r="I37" i="1"/>
  <c r="I158" i="2"/>
  <c r="I175" i="2"/>
  <c r="I217" i="2"/>
  <c r="I25" i="1"/>
  <c r="H11" i="5"/>
  <c r="H14" i="5" s="1"/>
  <c r="J142" i="2"/>
  <c r="H57" i="2"/>
  <c r="H58" i="2" s="1"/>
  <c r="H53" i="2" s="1"/>
  <c r="G60" i="2"/>
  <c r="I45" i="2"/>
  <c r="G75" i="2"/>
  <c r="J37" i="4"/>
  <c r="N15" i="3"/>
  <c r="M66" i="5"/>
  <c r="M62" i="5"/>
  <c r="M52" i="5"/>
  <c r="M40" i="5"/>
  <c r="M16" i="5"/>
  <c r="M10" i="5"/>
  <c r="M29" i="5"/>
  <c r="J21" i="4"/>
  <c r="Z14" i="3"/>
  <c r="Z16" i="3" s="1"/>
  <c r="K3" i="4"/>
  <c r="K16" i="4" s="1"/>
  <c r="K50" i="1"/>
  <c r="K40" i="2"/>
  <c r="K82" i="2"/>
  <c r="K55" i="2"/>
  <c r="K70" i="2"/>
  <c r="L9" i="3"/>
  <c r="L86" i="2" s="1"/>
  <c r="S4" i="4"/>
  <c r="K23" i="1"/>
  <c r="K36" i="1"/>
  <c r="K215" i="2"/>
  <c r="K96" i="2"/>
  <c r="K122" i="2" s="1"/>
  <c r="F197" i="2" l="1"/>
  <c r="F199" i="2" s="1"/>
  <c r="E39" i="4"/>
  <c r="E38" i="4"/>
  <c r="G29" i="4"/>
  <c r="G183" i="2"/>
  <c r="D67" i="5"/>
  <c r="D24" i="5"/>
  <c r="D34" i="5" s="1"/>
  <c r="D53" i="5" s="1"/>
  <c r="E27" i="1"/>
  <c r="E39" i="1"/>
  <c r="E218" i="2"/>
  <c r="E219" i="2" s="1"/>
  <c r="E238" i="2" s="1"/>
  <c r="E240" i="2" s="1"/>
  <c r="F239" i="2" s="1"/>
  <c r="F27" i="1"/>
  <c r="F218" i="2"/>
  <c r="F219" i="2" s="1"/>
  <c r="F39" i="1"/>
  <c r="H179" i="2"/>
  <c r="I176" i="2"/>
  <c r="I178" i="2"/>
  <c r="I177" i="2"/>
  <c r="H185" i="6"/>
  <c r="H183" i="6"/>
  <c r="H182" i="6"/>
  <c r="H184" i="6"/>
  <c r="J17" i="4"/>
  <c r="J18" i="4" s="1"/>
  <c r="J46" i="4" s="1"/>
  <c r="O8" i="3"/>
  <c r="M91" i="2"/>
  <c r="M90" i="2"/>
  <c r="L92" i="2"/>
  <c r="H73" i="2"/>
  <c r="H83" i="2" s="1"/>
  <c r="J44" i="2"/>
  <c r="K42" i="2" s="1"/>
  <c r="K43" i="2" s="1"/>
  <c r="J38" i="2"/>
  <c r="H224" i="2"/>
  <c r="M10" i="3"/>
  <c r="M15" i="1" s="1"/>
  <c r="O4" i="3"/>
  <c r="L196" i="2"/>
  <c r="L187" i="2"/>
  <c r="G84" i="2"/>
  <c r="K24" i="2"/>
  <c r="J18" i="2"/>
  <c r="J5" i="5" s="1"/>
  <c r="J8" i="5" s="1"/>
  <c r="H51" i="1"/>
  <c r="I24" i="1"/>
  <c r="I15" i="1" s="1"/>
  <c r="I221" i="2"/>
  <c r="I30" i="4" s="1"/>
  <c r="I84" i="6"/>
  <c r="I82" i="6"/>
  <c r="I83" i="6"/>
  <c r="G156" i="6"/>
  <c r="G157" i="6" s="1"/>
  <c r="G44" i="5" s="1"/>
  <c r="I81" i="6"/>
  <c r="F102" i="6"/>
  <c r="F103" i="6" s="1"/>
  <c r="F42" i="5" s="1"/>
  <c r="F119" i="6"/>
  <c r="F120" i="6" s="1"/>
  <c r="F43" i="5" s="1"/>
  <c r="H85" i="6"/>
  <c r="H86" i="6" s="1"/>
  <c r="H41" i="5" s="1"/>
  <c r="I80" i="6"/>
  <c r="I114" i="6"/>
  <c r="I118" i="6" s="1"/>
  <c r="J96" i="6"/>
  <c r="J101" i="6" s="1"/>
  <c r="J79" i="6"/>
  <c r="I53" i="6"/>
  <c r="I55" i="6" s="1"/>
  <c r="I58" i="6" s="1"/>
  <c r="I52" i="6"/>
  <c r="I182" i="6" s="1"/>
  <c r="H49" i="6"/>
  <c r="H154" i="6" s="1"/>
  <c r="H156" i="6" s="1"/>
  <c r="H157" i="6" s="1"/>
  <c r="H44" i="5" s="1"/>
  <c r="H48" i="6"/>
  <c r="J51" i="6"/>
  <c r="J42" i="6"/>
  <c r="J43" i="6"/>
  <c r="J44" i="6"/>
  <c r="J45" i="6"/>
  <c r="J46" i="6"/>
  <c r="I47" i="6"/>
  <c r="G54" i="6"/>
  <c r="G57" i="6" s="1"/>
  <c r="K170" i="6"/>
  <c r="K41" i="6"/>
  <c r="K24" i="6"/>
  <c r="K70" i="6" s="1"/>
  <c r="K138" i="6"/>
  <c r="K153" i="6" s="1"/>
  <c r="L15" i="6"/>
  <c r="L180" i="6" s="1"/>
  <c r="L182" i="2"/>
  <c r="J37" i="1"/>
  <c r="I23" i="4"/>
  <c r="J158" i="2"/>
  <c r="J175" i="2"/>
  <c r="J25" i="1"/>
  <c r="I11" i="5"/>
  <c r="I14" i="5" s="1"/>
  <c r="J217" i="2"/>
  <c r="J23" i="4" s="1"/>
  <c r="K142" i="2"/>
  <c r="H59" i="2"/>
  <c r="I57" i="2" s="1"/>
  <c r="I58" i="2" s="1"/>
  <c r="I53" i="2" s="1"/>
  <c r="H60" i="2"/>
  <c r="J45" i="2"/>
  <c r="H75" i="2"/>
  <c r="K21" i="4"/>
  <c r="K37" i="4"/>
  <c r="O15" i="3"/>
  <c r="N40" i="5"/>
  <c r="N66" i="5"/>
  <c r="N62" i="5"/>
  <c r="N52" i="5"/>
  <c r="N29" i="5"/>
  <c r="N16" i="5"/>
  <c r="N10" i="5"/>
  <c r="AA14" i="3"/>
  <c r="AA16" i="3" s="1"/>
  <c r="L50" i="1"/>
  <c r="L70" i="2"/>
  <c r="L40" i="2"/>
  <c r="K45" i="2" s="1"/>
  <c r="L55" i="2"/>
  <c r="K60" i="2" s="1"/>
  <c r="L82" i="2"/>
  <c r="L3" i="4"/>
  <c r="L16" i="4" s="1"/>
  <c r="G224" i="2"/>
  <c r="M9" i="3"/>
  <c r="M86" i="2" s="1"/>
  <c r="T4" i="4"/>
  <c r="L36" i="1"/>
  <c r="L23" i="1"/>
  <c r="L215" i="2"/>
  <c r="L96" i="2"/>
  <c r="L122" i="2" s="1"/>
  <c r="E40" i="4" l="1"/>
  <c r="E48" i="4" s="1"/>
  <c r="E17" i="5"/>
  <c r="E20" i="5" s="1"/>
  <c r="E53" i="1"/>
  <c r="G28" i="4"/>
  <c r="G42" i="4" s="1"/>
  <c r="I179" i="2"/>
  <c r="J177" i="2"/>
  <c r="J176" i="2"/>
  <c r="J178" i="2"/>
  <c r="H183" i="2"/>
  <c r="H29" i="4"/>
  <c r="F17" i="5"/>
  <c r="F20" i="5" s="1"/>
  <c r="F53" i="1"/>
  <c r="G202" i="2"/>
  <c r="G197" i="2"/>
  <c r="G199" i="2" s="1"/>
  <c r="G206" i="2"/>
  <c r="G16" i="1" s="1"/>
  <c r="I183" i="6"/>
  <c r="I184" i="6"/>
  <c r="I181" i="6"/>
  <c r="I185" i="6"/>
  <c r="K17" i="4"/>
  <c r="K18" i="4" s="1"/>
  <c r="K46" i="4" s="1"/>
  <c r="M92" i="2"/>
  <c r="P8" i="3"/>
  <c r="N91" i="2"/>
  <c r="N90" i="2"/>
  <c r="H74" i="2"/>
  <c r="I72" i="2" s="1"/>
  <c r="I73" i="2" s="1"/>
  <c r="H68" i="2"/>
  <c r="I59" i="2"/>
  <c r="J57" i="2" s="1"/>
  <c r="J58" i="2" s="1"/>
  <c r="J53" i="2" s="1"/>
  <c r="K44" i="2"/>
  <c r="L42" i="2" s="1"/>
  <c r="L43" i="2" s="1"/>
  <c r="K38" i="2"/>
  <c r="N10" i="3"/>
  <c r="N15" i="1" s="1"/>
  <c r="M196" i="2"/>
  <c r="M187" i="2"/>
  <c r="H84" i="2"/>
  <c r="J24" i="1"/>
  <c r="J15" i="1" s="1"/>
  <c r="J221" i="2"/>
  <c r="J30" i="4" s="1"/>
  <c r="I51" i="1"/>
  <c r="I85" i="6"/>
  <c r="I86" i="6" s="1"/>
  <c r="I41" i="5" s="1"/>
  <c r="J84" i="6"/>
  <c r="J83" i="6"/>
  <c r="J82" i="6"/>
  <c r="J81" i="6"/>
  <c r="G102" i="6"/>
  <c r="G103" i="6" s="1"/>
  <c r="G42" i="5" s="1"/>
  <c r="G119" i="6"/>
  <c r="G120" i="6" s="1"/>
  <c r="G43" i="5" s="1"/>
  <c r="J80" i="6"/>
  <c r="J114" i="6"/>
  <c r="J118" i="6" s="1"/>
  <c r="K96" i="6"/>
  <c r="K101" i="6" s="1"/>
  <c r="K79" i="6"/>
  <c r="J52" i="6"/>
  <c r="J182" i="6" s="1"/>
  <c r="J53" i="6"/>
  <c r="J55" i="6" s="1"/>
  <c r="J58" i="6" s="1"/>
  <c r="I49" i="6"/>
  <c r="I154" i="6" s="1"/>
  <c r="I156" i="6" s="1"/>
  <c r="I157" i="6" s="1"/>
  <c r="I44" i="5" s="1"/>
  <c r="I48" i="6"/>
  <c r="K51" i="6"/>
  <c r="K42" i="6"/>
  <c r="K43" i="6"/>
  <c r="K44" i="6"/>
  <c r="K45" i="6"/>
  <c r="K46" i="6"/>
  <c r="H54" i="6"/>
  <c r="H57" i="6" s="1"/>
  <c r="J47" i="6"/>
  <c r="L170" i="6"/>
  <c r="L41" i="6"/>
  <c r="L24" i="6"/>
  <c r="L70" i="6" s="1"/>
  <c r="L138" i="6"/>
  <c r="L153" i="6" s="1"/>
  <c r="M15" i="6"/>
  <c r="M180" i="6" s="1"/>
  <c r="M182" i="2"/>
  <c r="K37" i="1"/>
  <c r="J11" i="5"/>
  <c r="J14" i="5" s="1"/>
  <c r="K158" i="2"/>
  <c r="K175" i="2"/>
  <c r="K25" i="1"/>
  <c r="L142" i="2"/>
  <c r="K217" i="2"/>
  <c r="K23" i="4" s="1"/>
  <c r="I75" i="2"/>
  <c r="I60" i="2"/>
  <c r="L37" i="4"/>
  <c r="P15" i="3"/>
  <c r="O40" i="5"/>
  <c r="O62" i="5"/>
  <c r="O66" i="5"/>
  <c r="O52" i="5"/>
  <c r="O16" i="5"/>
  <c r="O10" i="5"/>
  <c r="O29" i="5"/>
  <c r="M50" i="1"/>
  <c r="M82" i="2"/>
  <c r="M70" i="2"/>
  <c r="M40" i="2"/>
  <c r="M55" i="2"/>
  <c r="L21" i="4"/>
  <c r="M3" i="4"/>
  <c r="M16" i="4" s="1"/>
  <c r="N9" i="3"/>
  <c r="N86" i="2" s="1"/>
  <c r="U4" i="4"/>
  <c r="M36" i="1"/>
  <c r="M23" i="1"/>
  <c r="M215" i="2"/>
  <c r="M96" i="2"/>
  <c r="M122" i="2" s="1"/>
  <c r="F39" i="4" l="1"/>
  <c r="H28" i="4"/>
  <c r="H42" i="4" s="1"/>
  <c r="E67" i="5"/>
  <c r="E24" i="5"/>
  <c r="E34" i="5" s="1"/>
  <c r="E53" i="5" s="1"/>
  <c r="K176" i="2"/>
  <c r="K178" i="2"/>
  <c r="K177" i="2"/>
  <c r="G27" i="1"/>
  <c r="G39" i="1"/>
  <c r="G218" i="2"/>
  <c r="G219" i="2" s="1"/>
  <c r="F67" i="5"/>
  <c r="F24" i="5"/>
  <c r="F34" i="5" s="1"/>
  <c r="F53" i="5" s="1"/>
  <c r="H206" i="2"/>
  <c r="H16" i="1" s="1"/>
  <c r="H202" i="2"/>
  <c r="H197" i="2"/>
  <c r="H199" i="2" s="1"/>
  <c r="I183" i="2"/>
  <c r="I29" i="4"/>
  <c r="J179" i="2"/>
  <c r="G44" i="4"/>
  <c r="J185" i="6"/>
  <c r="J181" i="6"/>
  <c r="J183" i="6"/>
  <c r="J184" i="6"/>
  <c r="L17" i="4"/>
  <c r="L18" i="4" s="1"/>
  <c r="L46" i="4" s="1"/>
  <c r="N92" i="2"/>
  <c r="Q8" i="3"/>
  <c r="O91" i="2"/>
  <c r="O90" i="2"/>
  <c r="I68" i="2"/>
  <c r="I74" i="2"/>
  <c r="J72" i="2" s="1"/>
  <c r="J73" i="2" s="1"/>
  <c r="I83" i="2"/>
  <c r="J59" i="2"/>
  <c r="K57" i="2" s="1"/>
  <c r="K58" i="2" s="1"/>
  <c r="K53" i="2" s="1"/>
  <c r="L44" i="2"/>
  <c r="M42" i="2" s="1"/>
  <c r="M43" i="2" s="1"/>
  <c r="L38" i="2"/>
  <c r="O10" i="3"/>
  <c r="O15" i="1" s="1"/>
  <c r="N196" i="2"/>
  <c r="N187" i="2"/>
  <c r="I84" i="2"/>
  <c r="J224" i="2"/>
  <c r="J51" i="1"/>
  <c r="K84" i="6"/>
  <c r="K80" i="6"/>
  <c r="K83" i="6"/>
  <c r="K82" i="6"/>
  <c r="J85" i="6"/>
  <c r="J86" i="6" s="1"/>
  <c r="J41" i="5" s="1"/>
  <c r="H102" i="6"/>
  <c r="H103" i="6" s="1"/>
  <c r="H42" i="5" s="1"/>
  <c r="H119" i="6"/>
  <c r="H120" i="6" s="1"/>
  <c r="H43" i="5" s="1"/>
  <c r="K81" i="6"/>
  <c r="K114" i="6"/>
  <c r="K118" i="6" s="1"/>
  <c r="L96" i="6"/>
  <c r="L101" i="6" s="1"/>
  <c r="L79" i="6"/>
  <c r="K53" i="6"/>
  <c r="K55" i="6" s="1"/>
  <c r="K58" i="6" s="1"/>
  <c r="K52" i="6"/>
  <c r="K181" i="6" s="1"/>
  <c r="J49" i="6"/>
  <c r="J154" i="6" s="1"/>
  <c r="J156" i="6" s="1"/>
  <c r="J157" i="6" s="1"/>
  <c r="J44" i="5" s="1"/>
  <c r="J48" i="6"/>
  <c r="L51" i="6"/>
  <c r="L42" i="6"/>
  <c r="L43" i="6"/>
  <c r="L44" i="6"/>
  <c r="L45" i="6"/>
  <c r="L46" i="6"/>
  <c r="K47" i="6"/>
  <c r="I54" i="6"/>
  <c r="I57" i="6" s="1"/>
  <c r="M170" i="6"/>
  <c r="M41" i="6"/>
  <c r="M24" i="6"/>
  <c r="M70" i="6" s="1"/>
  <c r="M138" i="6"/>
  <c r="M153" i="6" s="1"/>
  <c r="N15" i="6"/>
  <c r="N180" i="6" s="1"/>
  <c r="N182" i="2"/>
  <c r="V4" i="4"/>
  <c r="K11" i="5"/>
  <c r="K14" i="5" s="1"/>
  <c r="L217" i="2"/>
  <c r="L158" i="2"/>
  <c r="L175" i="2"/>
  <c r="L37" i="1"/>
  <c r="L25" i="1"/>
  <c r="M142" i="2"/>
  <c r="L45" i="2"/>
  <c r="J60" i="2"/>
  <c r="J75" i="2"/>
  <c r="M37" i="4"/>
  <c r="Q15" i="3"/>
  <c r="P62" i="5"/>
  <c r="P52" i="5"/>
  <c r="P66" i="5"/>
  <c r="P40" i="5"/>
  <c r="P29" i="5"/>
  <c r="P16" i="5"/>
  <c r="P10" i="5"/>
  <c r="N50" i="1"/>
  <c r="N82" i="2"/>
  <c r="N55" i="2"/>
  <c r="N40" i="2"/>
  <c r="M45" i="2" s="1"/>
  <c r="N70" i="2"/>
  <c r="K224" i="2"/>
  <c r="M21" i="4"/>
  <c r="I224" i="2"/>
  <c r="O9" i="3"/>
  <c r="O86" i="2" s="1"/>
  <c r="N3" i="4"/>
  <c r="N16" i="4" s="1"/>
  <c r="N23" i="1"/>
  <c r="N36" i="1"/>
  <c r="K22" i="4"/>
  <c r="N215" i="2"/>
  <c r="N96" i="2"/>
  <c r="N122" i="2" s="1"/>
  <c r="J183" i="2" l="1"/>
  <c r="J29" i="4"/>
  <c r="I28" i="4"/>
  <c r="I42" i="4" s="1"/>
  <c r="L177" i="2"/>
  <c r="L176" i="2"/>
  <c r="L178" i="2"/>
  <c r="I206" i="2"/>
  <c r="I16" i="1" s="1"/>
  <c r="I202" i="2"/>
  <c r="I197" i="2"/>
  <c r="I199" i="2" s="1"/>
  <c r="H39" i="1"/>
  <c r="H27" i="1"/>
  <c r="H218" i="2"/>
  <c r="H219" i="2" s="1"/>
  <c r="G17" i="5"/>
  <c r="G20" i="5" s="1"/>
  <c r="G53" i="1"/>
  <c r="K179" i="2"/>
  <c r="H44" i="4"/>
  <c r="K182" i="6"/>
  <c r="K185" i="6"/>
  <c r="K183" i="6"/>
  <c r="K184" i="6"/>
  <c r="M17" i="4"/>
  <c r="M18" i="4" s="1"/>
  <c r="O92" i="2"/>
  <c r="R8" i="3"/>
  <c r="P90" i="2"/>
  <c r="P91" i="2"/>
  <c r="J68" i="2"/>
  <c r="J74" i="2"/>
  <c r="K72" i="2" s="1"/>
  <c r="K73" i="2" s="1"/>
  <c r="J83" i="2"/>
  <c r="K59" i="2"/>
  <c r="L57" i="2" s="1"/>
  <c r="L58" i="2" s="1"/>
  <c r="L53" i="2" s="1"/>
  <c r="M44" i="2"/>
  <c r="N42" i="2" s="1"/>
  <c r="N43" i="2" s="1"/>
  <c r="M38" i="2"/>
  <c r="P10" i="3"/>
  <c r="P15" i="1" s="1"/>
  <c r="O196" i="2"/>
  <c r="O187" i="2"/>
  <c r="J84" i="2"/>
  <c r="L84" i="6"/>
  <c r="L83" i="6"/>
  <c r="L82" i="6"/>
  <c r="K85" i="6"/>
  <c r="K86" i="6" s="1"/>
  <c r="K41" i="5" s="1"/>
  <c r="L81" i="6"/>
  <c r="I102" i="6"/>
  <c r="I103" i="6" s="1"/>
  <c r="I42" i="5" s="1"/>
  <c r="I119" i="6"/>
  <c r="I120" i="6" s="1"/>
  <c r="I43" i="5" s="1"/>
  <c r="L80" i="6"/>
  <c r="L114" i="6"/>
  <c r="L118" i="6" s="1"/>
  <c r="M96" i="6"/>
  <c r="M101" i="6" s="1"/>
  <c r="M79" i="6"/>
  <c r="L52" i="6"/>
  <c r="L182" i="6" s="1"/>
  <c r="L53" i="6"/>
  <c r="L55" i="6" s="1"/>
  <c r="L58" i="6" s="1"/>
  <c r="K49" i="6"/>
  <c r="K154" i="6" s="1"/>
  <c r="K156" i="6" s="1"/>
  <c r="K157" i="6" s="1"/>
  <c r="K44" i="5" s="1"/>
  <c r="K48" i="6"/>
  <c r="M51" i="6"/>
  <c r="M42" i="6"/>
  <c r="M43" i="6"/>
  <c r="M45" i="6"/>
  <c r="M44" i="6"/>
  <c r="M46" i="6"/>
  <c r="L47" i="6"/>
  <c r="J54" i="6"/>
  <c r="J57" i="6" s="1"/>
  <c r="N170" i="6"/>
  <c r="N41" i="6"/>
  <c r="N24" i="6"/>
  <c r="N70" i="6" s="1"/>
  <c r="N138" i="6"/>
  <c r="N153" i="6" s="1"/>
  <c r="W4" i="4"/>
  <c r="O15" i="6"/>
  <c r="O180" i="6" s="1"/>
  <c r="O182" i="2"/>
  <c r="L23" i="4"/>
  <c r="M37" i="1"/>
  <c r="L11" i="5"/>
  <c r="L14" i="5" s="1"/>
  <c r="M158" i="2"/>
  <c r="M175" i="2"/>
  <c r="M25" i="1"/>
  <c r="M217" i="2"/>
  <c r="M23" i="4" s="1"/>
  <c r="N217" i="2"/>
  <c r="N142" i="2"/>
  <c r="M60" i="2"/>
  <c r="K75" i="2"/>
  <c r="K84" i="2" s="1"/>
  <c r="N21" i="4"/>
  <c r="N37" i="4"/>
  <c r="Q66" i="5"/>
  <c r="Q62" i="5"/>
  <c r="Q52" i="5"/>
  <c r="Q40" i="5"/>
  <c r="Q16" i="5"/>
  <c r="Q29" i="5"/>
  <c r="Q10" i="5"/>
  <c r="R15" i="3"/>
  <c r="O50" i="1"/>
  <c r="O70" i="2"/>
  <c r="O82" i="2"/>
  <c r="O55" i="2"/>
  <c r="O40" i="2"/>
  <c r="O3" i="4"/>
  <c r="O16" i="4" s="1"/>
  <c r="P9" i="3"/>
  <c r="P86" i="2" s="1"/>
  <c r="O36" i="1"/>
  <c r="O23" i="1"/>
  <c r="O215" i="2"/>
  <c r="O96" i="2"/>
  <c r="O122" i="2" s="1"/>
  <c r="I44" i="4" l="1"/>
  <c r="M176" i="2"/>
  <c r="M178" i="2"/>
  <c r="M177" i="2"/>
  <c r="K183" i="2"/>
  <c r="K29" i="4"/>
  <c r="I27" i="1"/>
  <c r="I218" i="2"/>
  <c r="I219" i="2" s="1"/>
  <c r="I39" i="1"/>
  <c r="J206" i="2"/>
  <c r="J16" i="1" s="1"/>
  <c r="J197" i="2"/>
  <c r="J199" i="2" s="1"/>
  <c r="J202" i="2"/>
  <c r="G67" i="5"/>
  <c r="G24" i="5"/>
  <c r="G34" i="5" s="1"/>
  <c r="G53" i="5" s="1"/>
  <c r="H17" i="5"/>
  <c r="H20" i="5" s="1"/>
  <c r="H53" i="1"/>
  <c r="J28" i="4"/>
  <c r="J42" i="4" s="1"/>
  <c r="L179" i="2"/>
  <c r="L183" i="6"/>
  <c r="L184" i="6"/>
  <c r="L181" i="6"/>
  <c r="L185" i="6"/>
  <c r="P92" i="2"/>
  <c r="N17" i="4"/>
  <c r="N18" i="4" s="1"/>
  <c r="N46" i="4" s="1"/>
  <c r="M46" i="4"/>
  <c r="S8" i="3"/>
  <c r="Q91" i="2"/>
  <c r="Q90" i="2"/>
  <c r="K74" i="2"/>
  <c r="L72" i="2" s="1"/>
  <c r="L73" i="2" s="1"/>
  <c r="L74" i="2" s="1"/>
  <c r="L75" i="2" s="1"/>
  <c r="K68" i="2"/>
  <c r="L59" i="2"/>
  <c r="N44" i="2"/>
  <c r="O42" i="2" s="1"/>
  <c r="O43" i="2" s="1"/>
  <c r="N38" i="2"/>
  <c r="Q10" i="3"/>
  <c r="Q15" i="1" s="1"/>
  <c r="P196" i="2"/>
  <c r="P187" i="2"/>
  <c r="M84" i="6"/>
  <c r="M80" i="6"/>
  <c r="M82" i="6"/>
  <c r="M83" i="6"/>
  <c r="L85" i="6"/>
  <c r="L86" i="6" s="1"/>
  <c r="L41" i="5" s="1"/>
  <c r="J102" i="6"/>
  <c r="J103" i="6" s="1"/>
  <c r="J42" i="5" s="1"/>
  <c r="J119" i="6"/>
  <c r="J120" i="6" s="1"/>
  <c r="J43" i="5" s="1"/>
  <c r="M81" i="6"/>
  <c r="M114" i="6"/>
  <c r="M118" i="6" s="1"/>
  <c r="N96" i="6"/>
  <c r="N101" i="6" s="1"/>
  <c r="N79" i="6"/>
  <c r="M53" i="6"/>
  <c r="M55" i="6" s="1"/>
  <c r="M58" i="6" s="1"/>
  <c r="M52" i="6"/>
  <c r="M182" i="6" s="1"/>
  <c r="L49" i="6"/>
  <c r="L154" i="6" s="1"/>
  <c r="L156" i="6" s="1"/>
  <c r="L157" i="6" s="1"/>
  <c r="L44" i="5" s="1"/>
  <c r="L48" i="6"/>
  <c r="N51" i="6"/>
  <c r="N42" i="6"/>
  <c r="N43" i="6"/>
  <c r="N44" i="6"/>
  <c r="N45" i="6"/>
  <c r="N46" i="6"/>
  <c r="K54" i="6"/>
  <c r="K57" i="6" s="1"/>
  <c r="M47" i="6"/>
  <c r="O170" i="6"/>
  <c r="O41" i="6"/>
  <c r="O24" i="6"/>
  <c r="O70" i="6" s="1"/>
  <c r="O138" i="6"/>
  <c r="O153" i="6" s="1"/>
  <c r="P15" i="6"/>
  <c r="P180" i="6" s="1"/>
  <c r="P182" i="2"/>
  <c r="X4" i="4"/>
  <c r="N158" i="2"/>
  <c r="N175" i="2"/>
  <c r="N37" i="1"/>
  <c r="M11" i="5"/>
  <c r="M14" i="5" s="1"/>
  <c r="N25" i="1"/>
  <c r="O37" i="1"/>
  <c r="O142" i="2"/>
  <c r="K83" i="2"/>
  <c r="N60" i="2"/>
  <c r="N45" i="2"/>
  <c r="R40" i="5"/>
  <c r="R66" i="5"/>
  <c r="R62" i="5"/>
  <c r="R52" i="5"/>
  <c r="R29" i="5"/>
  <c r="R10" i="5"/>
  <c r="R16" i="5"/>
  <c r="S15" i="3"/>
  <c r="N23" i="4"/>
  <c r="O37" i="4"/>
  <c r="P50" i="1"/>
  <c r="P70" i="2"/>
  <c r="P40" i="2"/>
  <c r="P82" i="2"/>
  <c r="P55" i="2"/>
  <c r="O21" i="4"/>
  <c r="Q9" i="3"/>
  <c r="Q86" i="2" s="1"/>
  <c r="P3" i="4"/>
  <c r="P16" i="4" s="1"/>
  <c r="P36" i="1"/>
  <c r="P23" i="1"/>
  <c r="P215" i="2"/>
  <c r="P96" i="2"/>
  <c r="P122" i="2" s="1"/>
  <c r="J44" i="4" l="1"/>
  <c r="N177" i="2"/>
  <c r="N176" i="2"/>
  <c r="N178" i="2"/>
  <c r="L183" i="2"/>
  <c r="L29" i="4"/>
  <c r="H67" i="5"/>
  <c r="H24" i="5"/>
  <c r="H34" i="5" s="1"/>
  <c r="H53" i="5" s="1"/>
  <c r="J39" i="1"/>
  <c r="J27" i="1"/>
  <c r="J218" i="2"/>
  <c r="J219" i="2" s="1"/>
  <c r="K28" i="4"/>
  <c r="K44" i="4" s="1"/>
  <c r="M179" i="2"/>
  <c r="I17" i="5"/>
  <c r="I20" i="5" s="1"/>
  <c r="I53" i="1"/>
  <c r="K206" i="2"/>
  <c r="K16" i="1" s="1"/>
  <c r="K197" i="2"/>
  <c r="K199" i="2" s="1"/>
  <c r="K202" i="2"/>
  <c r="O17" i="4"/>
  <c r="O18" i="4" s="1"/>
  <c r="M185" i="6"/>
  <c r="M181" i="6"/>
  <c r="M184" i="6"/>
  <c r="M183" i="6"/>
  <c r="T8" i="3"/>
  <c r="R91" i="2"/>
  <c r="R90" i="2"/>
  <c r="Q92" i="2"/>
  <c r="L83" i="2"/>
  <c r="L68" i="2"/>
  <c r="L60" i="2"/>
  <c r="L84" i="2" s="1"/>
  <c r="M57" i="2"/>
  <c r="M58" i="2" s="1"/>
  <c r="M53" i="2" s="1"/>
  <c r="O44" i="2"/>
  <c r="P42" i="2" s="1"/>
  <c r="P43" i="2" s="1"/>
  <c r="O38" i="2"/>
  <c r="R10" i="3"/>
  <c r="R15" i="1" s="1"/>
  <c r="Q196" i="2"/>
  <c r="Q187" i="2"/>
  <c r="M85" i="6"/>
  <c r="M86" i="6" s="1"/>
  <c r="M41" i="5" s="1"/>
  <c r="N84" i="6"/>
  <c r="N83" i="6"/>
  <c r="N82" i="6"/>
  <c r="N81" i="6"/>
  <c r="K102" i="6"/>
  <c r="K103" i="6" s="1"/>
  <c r="K42" i="5" s="1"/>
  <c r="K119" i="6"/>
  <c r="K120" i="6" s="1"/>
  <c r="K43" i="5" s="1"/>
  <c r="N80" i="6"/>
  <c r="N114" i="6"/>
  <c r="N118" i="6" s="1"/>
  <c r="O96" i="6"/>
  <c r="O101" i="6" s="1"/>
  <c r="O79" i="6"/>
  <c r="N52" i="6"/>
  <c r="N182" i="6" s="1"/>
  <c r="N53" i="6"/>
  <c r="N55" i="6" s="1"/>
  <c r="N58" i="6" s="1"/>
  <c r="M49" i="6"/>
  <c r="M154" i="6" s="1"/>
  <c r="M156" i="6" s="1"/>
  <c r="M157" i="6" s="1"/>
  <c r="M44" i="5" s="1"/>
  <c r="M48" i="6"/>
  <c r="O51" i="6"/>
  <c r="O42" i="6"/>
  <c r="O43" i="6"/>
  <c r="O44" i="6"/>
  <c r="O45" i="6"/>
  <c r="O46" i="6"/>
  <c r="N47" i="6"/>
  <c r="L54" i="6"/>
  <c r="L57" i="6" s="1"/>
  <c r="P170" i="6"/>
  <c r="P41" i="6"/>
  <c r="P24" i="6"/>
  <c r="P70" i="6" s="1"/>
  <c r="P138" i="6"/>
  <c r="P153" i="6" s="1"/>
  <c r="Y4" i="4"/>
  <c r="Q15" i="6"/>
  <c r="Q180" i="6" s="1"/>
  <c r="Q182" i="2"/>
  <c r="O158" i="2"/>
  <c r="O175" i="2"/>
  <c r="O25" i="1"/>
  <c r="N11" i="5"/>
  <c r="N14" i="5" s="1"/>
  <c r="O217" i="2"/>
  <c r="P142" i="2"/>
  <c r="M72" i="2"/>
  <c r="O45" i="2"/>
  <c r="M75" i="2"/>
  <c r="M84" i="2" s="1"/>
  <c r="O60" i="2"/>
  <c r="P37" i="4"/>
  <c r="S40" i="5"/>
  <c r="S66" i="5"/>
  <c r="S52" i="5"/>
  <c r="S62" i="5"/>
  <c r="S29" i="5"/>
  <c r="S16" i="5"/>
  <c r="S10" i="5"/>
  <c r="T15" i="3"/>
  <c r="Q50" i="1"/>
  <c r="Q55" i="2"/>
  <c r="Q70" i="2"/>
  <c r="Q40" i="2"/>
  <c r="P45" i="2" s="1"/>
  <c r="Q82" i="2"/>
  <c r="M224" i="2"/>
  <c r="Q3" i="4"/>
  <c r="Q16" i="4" s="1"/>
  <c r="M22" i="4"/>
  <c r="P21" i="4"/>
  <c r="L224" i="2"/>
  <c r="L22" i="4"/>
  <c r="R9" i="3"/>
  <c r="R86" i="2" s="1"/>
  <c r="Q23" i="1"/>
  <c r="Q36" i="1"/>
  <c r="Q215" i="2"/>
  <c r="Q96" i="2"/>
  <c r="Q122" i="2" s="1"/>
  <c r="N179" i="2" l="1"/>
  <c r="N183" i="2" s="1"/>
  <c r="K218" i="2"/>
  <c r="K219" i="2" s="1"/>
  <c r="K238" i="2" s="1"/>
  <c r="K27" i="1"/>
  <c r="K39" i="1"/>
  <c r="I67" i="5"/>
  <c r="I24" i="5"/>
  <c r="I34" i="5" s="1"/>
  <c r="I53" i="5" s="1"/>
  <c r="K42" i="4"/>
  <c r="K34" i="4"/>
  <c r="J17" i="5"/>
  <c r="J20" i="5" s="1"/>
  <c r="J53" i="1"/>
  <c r="L28" i="4"/>
  <c r="L42" i="4" s="1"/>
  <c r="O176" i="2"/>
  <c r="O178" i="2"/>
  <c r="O177" i="2"/>
  <c r="M183" i="2"/>
  <c r="M29" i="4"/>
  <c r="L206" i="2"/>
  <c r="L16" i="1" s="1"/>
  <c r="L197" i="2"/>
  <c r="L199" i="2" s="1"/>
  <c r="L202" i="2"/>
  <c r="N181" i="6"/>
  <c r="N185" i="6"/>
  <c r="N184" i="6"/>
  <c r="N183" i="6"/>
  <c r="R92" i="2"/>
  <c r="P17" i="4"/>
  <c r="P18" i="4" s="1"/>
  <c r="P46" i="4" s="1"/>
  <c r="O46" i="4"/>
  <c r="U8" i="3"/>
  <c r="S91" i="2"/>
  <c r="S90" i="2"/>
  <c r="M73" i="2"/>
  <c r="M68" i="2" s="1"/>
  <c r="M59" i="2"/>
  <c r="N57" i="2" s="1"/>
  <c r="N58" i="2" s="1"/>
  <c r="N53" i="2" s="1"/>
  <c r="P44" i="2"/>
  <c r="Q42" i="2" s="1"/>
  <c r="Q43" i="2" s="1"/>
  <c r="P38" i="2"/>
  <c r="S10" i="3"/>
  <c r="S15" i="1" s="1"/>
  <c r="R196" i="2"/>
  <c r="R187" i="2"/>
  <c r="O84" i="6"/>
  <c r="O83" i="6"/>
  <c r="O82" i="6"/>
  <c r="N85" i="6"/>
  <c r="N86" i="6" s="1"/>
  <c r="N41" i="5" s="1"/>
  <c r="O81" i="6"/>
  <c r="L102" i="6"/>
  <c r="L103" i="6" s="1"/>
  <c r="L42" i="5" s="1"/>
  <c r="L119" i="6"/>
  <c r="L120" i="6" s="1"/>
  <c r="L43" i="5" s="1"/>
  <c r="O80" i="6"/>
  <c r="O114" i="6"/>
  <c r="O118" i="6" s="1"/>
  <c r="P96" i="6"/>
  <c r="P101" i="6" s="1"/>
  <c r="P79" i="6"/>
  <c r="O53" i="6"/>
  <c r="O55" i="6" s="1"/>
  <c r="O58" i="6" s="1"/>
  <c r="O52" i="6"/>
  <c r="O182" i="6" s="1"/>
  <c r="N49" i="6"/>
  <c r="N154" i="6" s="1"/>
  <c r="N156" i="6" s="1"/>
  <c r="N157" i="6" s="1"/>
  <c r="N44" i="5" s="1"/>
  <c r="N48" i="6"/>
  <c r="P51" i="6"/>
  <c r="P44" i="6"/>
  <c r="P45" i="6"/>
  <c r="P42" i="6"/>
  <c r="P43" i="6"/>
  <c r="P46" i="6"/>
  <c r="M54" i="6"/>
  <c r="M57" i="6" s="1"/>
  <c r="O47" i="6"/>
  <c r="Q170" i="6"/>
  <c r="Q41" i="6"/>
  <c r="Q24" i="6"/>
  <c r="Q70" i="6" s="1"/>
  <c r="Q138" i="6"/>
  <c r="Q153" i="6" s="1"/>
  <c r="R3" i="4"/>
  <c r="R37" i="4" s="1"/>
  <c r="R15" i="6"/>
  <c r="R180" i="6" s="1"/>
  <c r="R182" i="2"/>
  <c r="Z4" i="4"/>
  <c r="AA4" i="4"/>
  <c r="P25" i="1"/>
  <c r="P158" i="2"/>
  <c r="P175" i="2"/>
  <c r="O23" i="4"/>
  <c r="O11" i="5"/>
  <c r="O14" i="5" s="1"/>
  <c r="P217" i="2"/>
  <c r="P23" i="4" s="1"/>
  <c r="P37" i="1"/>
  <c r="Q25" i="1"/>
  <c r="Q142" i="2"/>
  <c r="P60" i="2"/>
  <c r="N75" i="2"/>
  <c r="N84" i="2" s="1"/>
  <c r="T62" i="5"/>
  <c r="T52" i="5"/>
  <c r="T66" i="5"/>
  <c r="T40" i="5"/>
  <c r="T29" i="5"/>
  <c r="T16" i="5"/>
  <c r="T10" i="5"/>
  <c r="U15" i="3"/>
  <c r="Q37" i="4"/>
  <c r="Q21" i="4"/>
  <c r="R50" i="1"/>
  <c r="R82" i="2"/>
  <c r="R55" i="2"/>
  <c r="Q60" i="2" s="1"/>
  <c r="R70" i="2"/>
  <c r="R40" i="2"/>
  <c r="S9" i="3"/>
  <c r="S86" i="2" s="1"/>
  <c r="R23" i="1"/>
  <c r="R36" i="1"/>
  <c r="R215" i="2"/>
  <c r="R96" i="2"/>
  <c r="R122" i="2" s="1"/>
  <c r="N29" i="4" l="1"/>
  <c r="N28" i="4" s="1"/>
  <c r="N42" i="4" s="1"/>
  <c r="L34" i="4"/>
  <c r="L47" i="4" s="1"/>
  <c r="L44" i="4"/>
  <c r="N206" i="2"/>
  <c r="N16" i="1" s="1"/>
  <c r="N197" i="2"/>
  <c r="N199" i="2" s="1"/>
  <c r="N202" i="2"/>
  <c r="M28" i="4"/>
  <c r="M44" i="4" s="1"/>
  <c r="K47" i="4"/>
  <c r="K38" i="4"/>
  <c r="O179" i="2"/>
  <c r="P177" i="2"/>
  <c r="P176" i="2"/>
  <c r="P178" i="2"/>
  <c r="L27" i="1"/>
  <c r="L39" i="1"/>
  <c r="L218" i="2"/>
  <c r="L219" i="2" s="1"/>
  <c r="L238" i="2" s="1"/>
  <c r="M206" i="2"/>
  <c r="M16" i="1" s="1"/>
  <c r="M197" i="2"/>
  <c r="M199" i="2" s="1"/>
  <c r="M202" i="2"/>
  <c r="J67" i="5"/>
  <c r="J24" i="5"/>
  <c r="J34" i="5" s="1"/>
  <c r="J53" i="5" s="1"/>
  <c r="K17" i="5"/>
  <c r="K20" i="5" s="1"/>
  <c r="K53" i="1"/>
  <c r="Q17" i="4"/>
  <c r="Q18" i="4" s="1"/>
  <c r="O183" i="6"/>
  <c r="O185" i="6"/>
  <c r="O184" i="6"/>
  <c r="O181" i="6"/>
  <c r="V8" i="3"/>
  <c r="T90" i="2"/>
  <c r="T91" i="2"/>
  <c r="S92" i="2"/>
  <c r="M74" i="2"/>
  <c r="N72" i="2" s="1"/>
  <c r="N73" i="2" s="1"/>
  <c r="N74" i="2" s="1"/>
  <c r="O72" i="2" s="1"/>
  <c r="M83" i="2"/>
  <c r="N59" i="2"/>
  <c r="O57" i="2" s="1"/>
  <c r="O58" i="2" s="1"/>
  <c r="O53" i="2" s="1"/>
  <c r="Q44" i="2"/>
  <c r="R42" i="2" s="1"/>
  <c r="R43" i="2" s="1"/>
  <c r="Q38" i="2"/>
  <c r="T10" i="3"/>
  <c r="T15" i="1" s="1"/>
  <c r="S196" i="2"/>
  <c r="S187" i="2"/>
  <c r="P11" i="5"/>
  <c r="P14" i="5" s="1"/>
  <c r="P84" i="6"/>
  <c r="P83" i="6"/>
  <c r="P82" i="6"/>
  <c r="P80" i="6"/>
  <c r="O85" i="6"/>
  <c r="O86" i="6" s="1"/>
  <c r="O41" i="5" s="1"/>
  <c r="P81" i="6"/>
  <c r="M102" i="6"/>
  <c r="M103" i="6" s="1"/>
  <c r="M42" i="5" s="1"/>
  <c r="M119" i="6"/>
  <c r="M120" i="6" s="1"/>
  <c r="M43" i="5" s="1"/>
  <c r="P114" i="6"/>
  <c r="P118" i="6" s="1"/>
  <c r="Q96" i="6"/>
  <c r="Q101" i="6" s="1"/>
  <c r="Q79" i="6"/>
  <c r="P52" i="6"/>
  <c r="P182" i="6" s="1"/>
  <c r="P53" i="6"/>
  <c r="P55" i="6" s="1"/>
  <c r="P58" i="6" s="1"/>
  <c r="R21" i="4"/>
  <c r="R16" i="4"/>
  <c r="O49" i="6"/>
  <c r="O154" i="6" s="1"/>
  <c r="O156" i="6" s="1"/>
  <c r="O157" i="6" s="1"/>
  <c r="O44" i="5" s="1"/>
  <c r="O48" i="6"/>
  <c r="Q51" i="6"/>
  <c r="Q43" i="6"/>
  <c r="Q42" i="6"/>
  <c r="Q45" i="6"/>
  <c r="Q44" i="6"/>
  <c r="Q46" i="6"/>
  <c r="P47" i="6"/>
  <c r="N54" i="6"/>
  <c r="N57" i="6" s="1"/>
  <c r="R170" i="6"/>
  <c r="R41" i="6"/>
  <c r="R24" i="6"/>
  <c r="R70" i="6" s="1"/>
  <c r="R138" i="6"/>
  <c r="R153" i="6" s="1"/>
  <c r="S15" i="6"/>
  <c r="S180" i="6" s="1"/>
  <c r="S182" i="2"/>
  <c r="O224" i="2"/>
  <c r="Q37" i="1"/>
  <c r="Q158" i="2"/>
  <c r="Q175" i="2"/>
  <c r="O22" i="4"/>
  <c r="Q217" i="2"/>
  <c r="R37" i="1"/>
  <c r="R142" i="2"/>
  <c r="Q45" i="2"/>
  <c r="U66" i="5"/>
  <c r="U62" i="5"/>
  <c r="U52" i="5"/>
  <c r="U40" i="5"/>
  <c r="U16" i="5"/>
  <c r="U10" i="5"/>
  <c r="U29" i="5"/>
  <c r="V15" i="3"/>
  <c r="Q11" i="5"/>
  <c r="Q14" i="5" s="1"/>
  <c r="S50" i="1"/>
  <c r="S40" i="2"/>
  <c r="S82" i="2"/>
  <c r="S55" i="2"/>
  <c r="R60" i="2" s="1"/>
  <c r="S70" i="2"/>
  <c r="S3" i="4"/>
  <c r="S16" i="4" s="1"/>
  <c r="N224" i="2"/>
  <c r="N22" i="4"/>
  <c r="T9" i="3"/>
  <c r="T86" i="2" s="1"/>
  <c r="S23" i="1"/>
  <c r="S36" i="1"/>
  <c r="S215" i="2"/>
  <c r="S96" i="2"/>
  <c r="S122" i="2" s="1"/>
  <c r="N34" i="4" l="1"/>
  <c r="N47" i="4" s="1"/>
  <c r="L38" i="4"/>
  <c r="P179" i="2"/>
  <c r="P183" i="2" s="1"/>
  <c r="Q176" i="2"/>
  <c r="Q178" i="2"/>
  <c r="Q177" i="2"/>
  <c r="M39" i="1"/>
  <c r="M27" i="1"/>
  <c r="M218" i="2"/>
  <c r="M219" i="2" s="1"/>
  <c r="M238" i="2" s="1"/>
  <c r="N27" i="1"/>
  <c r="N39" i="1"/>
  <c r="N218" i="2"/>
  <c r="N219" i="2" s="1"/>
  <c r="N238" i="2" s="1"/>
  <c r="N44" i="4"/>
  <c r="K67" i="5"/>
  <c r="K24" i="5"/>
  <c r="K34" i="5" s="1"/>
  <c r="K53" i="5" s="1"/>
  <c r="L17" i="5"/>
  <c r="L20" i="5" s="1"/>
  <c r="L53" i="1"/>
  <c r="O183" i="2"/>
  <c r="O29" i="4"/>
  <c r="M42" i="4"/>
  <c r="M34" i="4"/>
  <c r="P181" i="6"/>
  <c r="P184" i="6"/>
  <c r="P185" i="6"/>
  <c r="P183" i="6"/>
  <c r="R17" i="4"/>
  <c r="R18" i="4" s="1"/>
  <c r="R46" i="4" s="1"/>
  <c r="Q46" i="4"/>
  <c r="T92" i="2"/>
  <c r="W8" i="3"/>
  <c r="U91" i="2"/>
  <c r="U90" i="2"/>
  <c r="N83" i="2"/>
  <c r="N68" i="2"/>
  <c r="O73" i="2"/>
  <c r="O74" i="2" s="1"/>
  <c r="O75" i="2" s="1"/>
  <c r="O84" i="2" s="1"/>
  <c r="O59" i="2"/>
  <c r="P57" i="2" s="1"/>
  <c r="P58" i="2" s="1"/>
  <c r="P53" i="2" s="1"/>
  <c r="R44" i="2"/>
  <c r="S42" i="2" s="1"/>
  <c r="S43" i="2" s="1"/>
  <c r="R38" i="2"/>
  <c r="U10" i="3"/>
  <c r="U15" i="1" s="1"/>
  <c r="T196" i="2"/>
  <c r="T187" i="2"/>
  <c r="Q23" i="4"/>
  <c r="Q84" i="6"/>
  <c r="Q82" i="6"/>
  <c r="Q83" i="6"/>
  <c r="P85" i="6"/>
  <c r="P86" i="6" s="1"/>
  <c r="P41" i="5" s="1"/>
  <c r="Q80" i="6"/>
  <c r="N102" i="6"/>
  <c r="N103" i="6" s="1"/>
  <c r="N42" i="5" s="1"/>
  <c r="N119" i="6"/>
  <c r="N120" i="6" s="1"/>
  <c r="N43" i="5" s="1"/>
  <c r="Q81" i="6"/>
  <c r="Q114" i="6"/>
  <c r="Q118" i="6" s="1"/>
  <c r="R96" i="6"/>
  <c r="R101" i="6" s="1"/>
  <c r="R79" i="6"/>
  <c r="Q53" i="6"/>
  <c r="Q55" i="6" s="1"/>
  <c r="Q58" i="6" s="1"/>
  <c r="Q52" i="6"/>
  <c r="Q181" i="6" s="1"/>
  <c r="P49" i="6"/>
  <c r="P154" i="6" s="1"/>
  <c r="P156" i="6" s="1"/>
  <c r="P157" i="6" s="1"/>
  <c r="P44" i="5" s="1"/>
  <c r="P48" i="6"/>
  <c r="R51" i="6"/>
  <c r="R42" i="6"/>
  <c r="R43" i="6"/>
  <c r="R44" i="6"/>
  <c r="R45" i="6"/>
  <c r="R46" i="6"/>
  <c r="O54" i="6"/>
  <c r="O57" i="6" s="1"/>
  <c r="Q47" i="6"/>
  <c r="S170" i="6"/>
  <c r="S41" i="6"/>
  <c r="S24" i="6"/>
  <c r="S70" i="6" s="1"/>
  <c r="S138" i="6"/>
  <c r="S153" i="6" s="1"/>
  <c r="T15" i="6"/>
  <c r="T180" i="6" s="1"/>
  <c r="T182" i="2"/>
  <c r="R158" i="2"/>
  <c r="R175" i="2"/>
  <c r="R25" i="1"/>
  <c r="R217" i="2"/>
  <c r="R23" i="4" s="1"/>
  <c r="S217" i="2"/>
  <c r="S142" i="2"/>
  <c r="P75" i="2"/>
  <c r="P84" i="2" s="1"/>
  <c r="R45" i="2"/>
  <c r="S37" i="4"/>
  <c r="V40" i="5"/>
  <c r="V66" i="5"/>
  <c r="V62" i="5"/>
  <c r="V52" i="5"/>
  <c r="V29" i="5"/>
  <c r="V16" i="5"/>
  <c r="V10" i="5"/>
  <c r="W15" i="3"/>
  <c r="T50" i="1"/>
  <c r="T70" i="2"/>
  <c r="T40" i="2"/>
  <c r="T55" i="2"/>
  <c r="S60" i="2" s="1"/>
  <c r="T82" i="2"/>
  <c r="S21" i="4"/>
  <c r="P224" i="2"/>
  <c r="U9" i="3"/>
  <c r="U86" i="2" s="1"/>
  <c r="P22" i="4"/>
  <c r="T3" i="4"/>
  <c r="T16" i="4" s="1"/>
  <c r="T36" i="1"/>
  <c r="T23" i="1"/>
  <c r="T215" i="2"/>
  <c r="T96" i="2"/>
  <c r="T122" i="2" s="1"/>
  <c r="P29" i="4" l="1"/>
  <c r="P28" i="4" s="1"/>
  <c r="P42" i="4" s="1"/>
  <c r="N38" i="4"/>
  <c r="R177" i="2"/>
  <c r="R176" i="2"/>
  <c r="R178" i="2"/>
  <c r="M47" i="4"/>
  <c r="M38" i="4"/>
  <c r="O28" i="4"/>
  <c r="O44" i="4" s="1"/>
  <c r="N17" i="5"/>
  <c r="N20" i="5" s="1"/>
  <c r="N53" i="1"/>
  <c r="M17" i="5"/>
  <c r="M20" i="5" s="1"/>
  <c r="M53" i="1"/>
  <c r="Q179" i="2"/>
  <c r="O206" i="2"/>
  <c r="O16" i="1" s="1"/>
  <c r="O197" i="2"/>
  <c r="O199" i="2" s="1"/>
  <c r="O202" i="2"/>
  <c r="P206" i="2"/>
  <c r="P16" i="1" s="1"/>
  <c r="P197" i="2"/>
  <c r="P199" i="2" s="1"/>
  <c r="P202" i="2"/>
  <c r="L67" i="5"/>
  <c r="L24" i="5"/>
  <c r="L34" i="5" s="1"/>
  <c r="L53" i="5" s="1"/>
  <c r="Q182" i="6"/>
  <c r="Q184" i="6"/>
  <c r="Q183" i="6"/>
  <c r="Q185" i="6"/>
  <c r="S17" i="4"/>
  <c r="S18" i="4" s="1"/>
  <c r="S46" i="4" s="1"/>
  <c r="U92" i="2"/>
  <c r="X8" i="3"/>
  <c r="V91" i="2"/>
  <c r="V90" i="2"/>
  <c r="O83" i="2"/>
  <c r="O68" i="2"/>
  <c r="P59" i="2"/>
  <c r="Q57" i="2" s="1"/>
  <c r="Q58" i="2" s="1"/>
  <c r="Q53" i="2" s="1"/>
  <c r="S44" i="2"/>
  <c r="T42" i="2" s="1"/>
  <c r="T43" i="2" s="1"/>
  <c r="S38" i="2"/>
  <c r="V10" i="3"/>
  <c r="V15" i="1" s="1"/>
  <c r="U196" i="2"/>
  <c r="U187" i="2"/>
  <c r="R11" i="5"/>
  <c r="R14" i="5" s="1"/>
  <c r="S37" i="1"/>
  <c r="R84" i="6"/>
  <c r="R83" i="6"/>
  <c r="R82" i="6"/>
  <c r="Q85" i="6"/>
  <c r="Q86" i="6" s="1"/>
  <c r="Q41" i="5" s="1"/>
  <c r="O102" i="6"/>
  <c r="O103" i="6" s="1"/>
  <c r="O42" i="5" s="1"/>
  <c r="O119" i="6"/>
  <c r="O120" i="6" s="1"/>
  <c r="O43" i="5" s="1"/>
  <c r="R81" i="6"/>
  <c r="R80" i="6"/>
  <c r="R114" i="6"/>
  <c r="R118" i="6" s="1"/>
  <c r="S96" i="6"/>
  <c r="S101" i="6" s="1"/>
  <c r="S79" i="6"/>
  <c r="R52" i="6"/>
  <c r="R182" i="6" s="1"/>
  <c r="R53" i="6"/>
  <c r="R55" i="6" s="1"/>
  <c r="R58" i="6" s="1"/>
  <c r="Q49" i="6"/>
  <c r="Q154" i="6" s="1"/>
  <c r="Q156" i="6" s="1"/>
  <c r="Q157" i="6" s="1"/>
  <c r="Q44" i="5" s="1"/>
  <c r="Q48" i="6"/>
  <c r="S51" i="6"/>
  <c r="S42" i="6"/>
  <c r="S43" i="6"/>
  <c r="S44" i="6"/>
  <c r="S45" i="6"/>
  <c r="S46" i="6"/>
  <c r="R47" i="6"/>
  <c r="P54" i="6"/>
  <c r="P57" i="6" s="1"/>
  <c r="T170" i="6"/>
  <c r="T41" i="6"/>
  <c r="T24" i="6"/>
  <c r="T70" i="6" s="1"/>
  <c r="T138" i="6"/>
  <c r="T153" i="6" s="1"/>
  <c r="U3" i="4"/>
  <c r="U16" i="4" s="1"/>
  <c r="U15" i="6"/>
  <c r="U180" i="6" s="1"/>
  <c r="U182" i="2"/>
  <c r="S25" i="1"/>
  <c r="S158" i="2"/>
  <c r="S175" i="2"/>
  <c r="T142" i="2"/>
  <c r="P72" i="2"/>
  <c r="S45" i="2"/>
  <c r="S23" i="4"/>
  <c r="W40" i="5"/>
  <c r="W62" i="5"/>
  <c r="W66" i="5"/>
  <c r="W52" i="5"/>
  <c r="W16" i="5"/>
  <c r="W10" i="5"/>
  <c r="W29" i="5"/>
  <c r="X15" i="3"/>
  <c r="T21" i="4"/>
  <c r="T37" i="4"/>
  <c r="U50" i="1"/>
  <c r="U82" i="2"/>
  <c r="U70" i="2"/>
  <c r="U40" i="2"/>
  <c r="U55" i="2"/>
  <c r="R224" i="2"/>
  <c r="Q224" i="2"/>
  <c r="V9" i="3"/>
  <c r="V86" i="2" s="1"/>
  <c r="U36" i="1"/>
  <c r="U23" i="1"/>
  <c r="U215" i="2"/>
  <c r="U96" i="2"/>
  <c r="U122" i="2" s="1"/>
  <c r="P34" i="4" l="1"/>
  <c r="P38" i="4" s="1"/>
  <c r="R179" i="2"/>
  <c r="R183" i="2" s="1"/>
  <c r="S176" i="2"/>
  <c r="S178" i="2"/>
  <c r="S177" i="2"/>
  <c r="O27" i="1"/>
  <c r="O39" i="1"/>
  <c r="O218" i="2"/>
  <c r="O219" i="2" s="1"/>
  <c r="O238" i="2" s="1"/>
  <c r="P44" i="4"/>
  <c r="P27" i="1"/>
  <c r="P218" i="2"/>
  <c r="P219" i="2" s="1"/>
  <c r="P238" i="2" s="1"/>
  <c r="P39" i="1"/>
  <c r="Q183" i="2"/>
  <c r="Q29" i="4"/>
  <c r="M67" i="5"/>
  <c r="M24" i="5"/>
  <c r="M34" i="5" s="1"/>
  <c r="M53" i="5" s="1"/>
  <c r="N67" i="5"/>
  <c r="N24" i="5"/>
  <c r="N34" i="5" s="1"/>
  <c r="N53" i="5" s="1"/>
  <c r="O42" i="4"/>
  <c r="O34" i="4"/>
  <c r="R184" i="6"/>
  <c r="R181" i="6"/>
  <c r="R183" i="6"/>
  <c r="R185" i="6"/>
  <c r="T17" i="4"/>
  <c r="T18" i="4" s="1"/>
  <c r="T46" i="4" s="1"/>
  <c r="V92" i="2"/>
  <c r="Y8" i="3"/>
  <c r="W91" i="2"/>
  <c r="W90" i="2"/>
  <c r="P73" i="2"/>
  <c r="P74" i="2" s="1"/>
  <c r="Q72" i="2" s="1"/>
  <c r="Q59" i="2"/>
  <c r="R57" i="2" s="1"/>
  <c r="R58" i="2" s="1"/>
  <c r="R53" i="2" s="1"/>
  <c r="T44" i="2"/>
  <c r="U42" i="2" s="1"/>
  <c r="U43" i="2" s="1"/>
  <c r="T38" i="2"/>
  <c r="W10" i="3"/>
  <c r="W15" i="1" s="1"/>
  <c r="V196" i="2"/>
  <c r="V187" i="2"/>
  <c r="U37" i="4"/>
  <c r="S84" i="6"/>
  <c r="S82" i="6"/>
  <c r="S80" i="6"/>
  <c r="S83" i="6"/>
  <c r="S81" i="6"/>
  <c r="P102" i="6"/>
  <c r="P103" i="6" s="1"/>
  <c r="P42" i="5" s="1"/>
  <c r="P119" i="6"/>
  <c r="P120" i="6" s="1"/>
  <c r="P43" i="5" s="1"/>
  <c r="R85" i="6"/>
  <c r="R86" i="6" s="1"/>
  <c r="R41" i="5" s="1"/>
  <c r="S114" i="6"/>
  <c r="S118" i="6" s="1"/>
  <c r="T96" i="6"/>
  <c r="T101" i="6" s="1"/>
  <c r="T79" i="6"/>
  <c r="S53" i="6"/>
  <c r="S55" i="6" s="1"/>
  <c r="S58" i="6" s="1"/>
  <c r="S52" i="6"/>
  <c r="S182" i="6" s="1"/>
  <c r="U21" i="4"/>
  <c r="R49" i="6"/>
  <c r="R154" i="6" s="1"/>
  <c r="R156" i="6" s="1"/>
  <c r="R157" i="6" s="1"/>
  <c r="R44" i="5" s="1"/>
  <c r="R48" i="6"/>
  <c r="T51" i="6"/>
  <c r="T42" i="6"/>
  <c r="T46" i="6"/>
  <c r="T43" i="6"/>
  <c r="T44" i="6"/>
  <c r="T45" i="6"/>
  <c r="Q54" i="6"/>
  <c r="Q57" i="6" s="1"/>
  <c r="S47" i="6"/>
  <c r="U170" i="6"/>
  <c r="U41" i="6"/>
  <c r="U24" i="6"/>
  <c r="U70" i="6" s="1"/>
  <c r="U138" i="6"/>
  <c r="U153" i="6" s="1"/>
  <c r="V15" i="6"/>
  <c r="V180" i="6" s="1"/>
  <c r="V182" i="2"/>
  <c r="T37" i="1"/>
  <c r="S11" i="5"/>
  <c r="S14" i="5" s="1"/>
  <c r="T158" i="2"/>
  <c r="T175" i="2"/>
  <c r="T25" i="1"/>
  <c r="U217" i="2"/>
  <c r="U142" i="2"/>
  <c r="T217" i="2"/>
  <c r="T60" i="2"/>
  <c r="T45" i="2"/>
  <c r="X62" i="5"/>
  <c r="X52" i="5"/>
  <c r="X66" i="5"/>
  <c r="X40" i="5"/>
  <c r="X29" i="5"/>
  <c r="X16" i="5"/>
  <c r="X10" i="5"/>
  <c r="Y15" i="3"/>
  <c r="V50" i="1"/>
  <c r="V82" i="2"/>
  <c r="V55" i="2"/>
  <c r="V40" i="2"/>
  <c r="V70" i="2"/>
  <c r="S224" i="2"/>
  <c r="V3" i="4"/>
  <c r="V16" i="4" s="1"/>
  <c r="W9" i="3"/>
  <c r="W86" i="2" s="1"/>
  <c r="V23" i="1"/>
  <c r="V36" i="1"/>
  <c r="V215" i="2"/>
  <c r="V96" i="2"/>
  <c r="V122" i="2" s="1"/>
  <c r="R29" i="4" l="1"/>
  <c r="R28" i="4" s="1"/>
  <c r="R42" i="4" s="1"/>
  <c r="P47" i="4"/>
  <c r="O38" i="4"/>
  <c r="O47" i="4"/>
  <c r="Q28" i="4"/>
  <c r="Q42" i="4" s="1"/>
  <c r="P17" i="5"/>
  <c r="P20" i="5" s="1"/>
  <c r="P53" i="1"/>
  <c r="S179" i="2"/>
  <c r="T177" i="2"/>
  <c r="T176" i="2"/>
  <c r="T178" i="2"/>
  <c r="R206" i="2"/>
  <c r="R16" i="1" s="1"/>
  <c r="R197" i="2"/>
  <c r="R199" i="2" s="1"/>
  <c r="R202" i="2"/>
  <c r="Q206" i="2"/>
  <c r="Q16" i="1" s="1"/>
  <c r="Q197" i="2"/>
  <c r="Q199" i="2" s="1"/>
  <c r="Q202" i="2"/>
  <c r="O17" i="5"/>
  <c r="O20" i="5" s="1"/>
  <c r="O53" i="1"/>
  <c r="S185" i="6"/>
  <c r="S181" i="6"/>
  <c r="S184" i="6"/>
  <c r="S183" i="6"/>
  <c r="U17" i="4"/>
  <c r="U18" i="4" s="1"/>
  <c r="U46" i="4" s="1"/>
  <c r="W92" i="2"/>
  <c r="Z8" i="3"/>
  <c r="X91" i="2"/>
  <c r="X90" i="2"/>
  <c r="P83" i="2"/>
  <c r="P68" i="2"/>
  <c r="Q73" i="2"/>
  <c r="Q74" i="2" s="1"/>
  <c r="R59" i="2"/>
  <c r="S57" i="2" s="1"/>
  <c r="S58" i="2" s="1"/>
  <c r="S53" i="2" s="1"/>
  <c r="U44" i="2"/>
  <c r="V42" i="2" s="1"/>
  <c r="V43" i="2" s="1"/>
  <c r="U38" i="2"/>
  <c r="X10" i="3"/>
  <c r="X15" i="1" s="1"/>
  <c r="W196" i="2"/>
  <c r="W187" i="2"/>
  <c r="T84" i="6"/>
  <c r="S85" i="6"/>
  <c r="S86" i="6" s="1"/>
  <c r="S41" i="5" s="1"/>
  <c r="T80" i="6"/>
  <c r="T82" i="6"/>
  <c r="T83" i="6"/>
  <c r="T81" i="6"/>
  <c r="Q102" i="6"/>
  <c r="Q103" i="6" s="1"/>
  <c r="Q42" i="5" s="1"/>
  <c r="Q119" i="6"/>
  <c r="Q120" i="6" s="1"/>
  <c r="Q43" i="5" s="1"/>
  <c r="T114" i="6"/>
  <c r="T118" i="6" s="1"/>
  <c r="U96" i="6"/>
  <c r="U101" i="6" s="1"/>
  <c r="U79" i="6"/>
  <c r="T52" i="6"/>
  <c r="T181" i="6" s="1"/>
  <c r="T53" i="6"/>
  <c r="T55" i="6" s="1"/>
  <c r="T58" i="6" s="1"/>
  <c r="S49" i="6"/>
  <c r="S154" i="6" s="1"/>
  <c r="S156" i="6" s="1"/>
  <c r="S157" i="6" s="1"/>
  <c r="S44" i="5" s="1"/>
  <c r="S48" i="6"/>
  <c r="U51" i="6"/>
  <c r="U42" i="6"/>
  <c r="U44" i="6"/>
  <c r="U46" i="6"/>
  <c r="U43" i="6"/>
  <c r="U45" i="6"/>
  <c r="T47" i="6"/>
  <c r="R54" i="6"/>
  <c r="R57" i="6" s="1"/>
  <c r="V170" i="6"/>
  <c r="V41" i="6"/>
  <c r="V24" i="6"/>
  <c r="V70" i="6" s="1"/>
  <c r="V138" i="6"/>
  <c r="V153" i="6" s="1"/>
  <c r="W15" i="6"/>
  <c r="W180" i="6" s="1"/>
  <c r="W182" i="2"/>
  <c r="U37" i="1"/>
  <c r="U158" i="2"/>
  <c r="U175" i="2"/>
  <c r="T23" i="4"/>
  <c r="T11" i="5"/>
  <c r="T14" i="5" s="1"/>
  <c r="V142" i="2"/>
  <c r="U25" i="1"/>
  <c r="U60" i="2"/>
  <c r="R75" i="2"/>
  <c r="R84" i="2" s="1"/>
  <c r="U45" i="2"/>
  <c r="U23" i="4"/>
  <c r="Y66" i="5"/>
  <c r="Y62" i="5"/>
  <c r="Y52" i="5"/>
  <c r="Y40" i="5"/>
  <c r="Y16" i="5"/>
  <c r="Y29" i="5"/>
  <c r="Y10" i="5"/>
  <c r="Z15" i="3"/>
  <c r="V37" i="4"/>
  <c r="V21" i="4"/>
  <c r="W50" i="1"/>
  <c r="W70" i="2"/>
  <c r="W82" i="2"/>
  <c r="W55" i="2"/>
  <c r="W40" i="2"/>
  <c r="X9" i="3"/>
  <c r="X86" i="2" s="1"/>
  <c r="W3" i="4"/>
  <c r="W36" i="1"/>
  <c r="W23" i="1"/>
  <c r="W215" i="2"/>
  <c r="W96" i="2"/>
  <c r="W122" i="2" s="1"/>
  <c r="Q218" i="2" l="1"/>
  <c r="Q219" i="2" s="1"/>
  <c r="Q27" i="1"/>
  <c r="Q39" i="1"/>
  <c r="P67" i="5"/>
  <c r="P24" i="5"/>
  <c r="P34" i="5" s="1"/>
  <c r="P53" i="5" s="1"/>
  <c r="U176" i="2"/>
  <c r="U178" i="2"/>
  <c r="U177" i="2"/>
  <c r="O67" i="5"/>
  <c r="O24" i="5"/>
  <c r="O34" i="5" s="1"/>
  <c r="O53" i="5" s="1"/>
  <c r="R39" i="1"/>
  <c r="R27" i="1"/>
  <c r="R218" i="2"/>
  <c r="R219" i="2" s="1"/>
  <c r="S183" i="2"/>
  <c r="S29" i="4"/>
  <c r="T179" i="2"/>
  <c r="Q44" i="4"/>
  <c r="R44" i="4"/>
  <c r="T183" i="6"/>
  <c r="T185" i="6"/>
  <c r="T182" i="6"/>
  <c r="T184" i="6"/>
  <c r="V17" i="4"/>
  <c r="V18" i="4" s="1"/>
  <c r="V46" i="4" s="1"/>
  <c r="X92" i="2"/>
  <c r="AA8" i="3"/>
  <c r="Y91" i="2"/>
  <c r="Y90" i="2"/>
  <c r="Q83" i="2"/>
  <c r="Q68" i="2"/>
  <c r="S59" i="2"/>
  <c r="T57" i="2" s="1"/>
  <c r="T58" i="2" s="1"/>
  <c r="T53" i="2" s="1"/>
  <c r="V44" i="2"/>
  <c r="W42" i="2" s="1"/>
  <c r="W43" i="2" s="1"/>
  <c r="V38" i="2"/>
  <c r="Y10" i="3"/>
  <c r="Y15" i="1" s="1"/>
  <c r="X196" i="2"/>
  <c r="X187" i="2"/>
  <c r="U84" i="6"/>
  <c r="T85" i="6"/>
  <c r="T86" i="6" s="1"/>
  <c r="T41" i="5" s="1"/>
  <c r="U83" i="6"/>
  <c r="U82" i="6"/>
  <c r="U81" i="6"/>
  <c r="R102" i="6"/>
  <c r="R103" i="6" s="1"/>
  <c r="R42" i="5" s="1"/>
  <c r="R119" i="6"/>
  <c r="R120" i="6" s="1"/>
  <c r="R43" i="5" s="1"/>
  <c r="U80" i="6"/>
  <c r="U114" i="6"/>
  <c r="U118" i="6" s="1"/>
  <c r="V96" i="6"/>
  <c r="V101" i="6" s="1"/>
  <c r="V79" i="6"/>
  <c r="U53" i="6"/>
  <c r="U55" i="6" s="1"/>
  <c r="U58" i="6" s="1"/>
  <c r="U52" i="6"/>
  <c r="U181" i="6" s="1"/>
  <c r="T49" i="6"/>
  <c r="T154" i="6" s="1"/>
  <c r="T156" i="6" s="1"/>
  <c r="T157" i="6" s="1"/>
  <c r="T44" i="5" s="1"/>
  <c r="T48" i="6"/>
  <c r="V51" i="6"/>
  <c r="V42" i="6"/>
  <c r="V43" i="6"/>
  <c r="V44" i="6"/>
  <c r="V45" i="6"/>
  <c r="V46" i="6"/>
  <c r="S54" i="6"/>
  <c r="S57" i="6" s="1"/>
  <c r="U47" i="6"/>
  <c r="W170" i="6"/>
  <c r="W41" i="6"/>
  <c r="W24" i="6"/>
  <c r="W70" i="6" s="1"/>
  <c r="W138" i="6"/>
  <c r="W153" i="6" s="1"/>
  <c r="X3" i="4"/>
  <c r="X16" i="4" s="1"/>
  <c r="X15" i="6"/>
  <c r="X180" i="6" s="1"/>
  <c r="X182" i="2"/>
  <c r="W16" i="4"/>
  <c r="V37" i="1"/>
  <c r="V158" i="2"/>
  <c r="V175" i="2"/>
  <c r="U11" i="5"/>
  <c r="U14" i="5" s="1"/>
  <c r="V217" i="2"/>
  <c r="V23" i="4" s="1"/>
  <c r="W142" i="2"/>
  <c r="V25" i="1"/>
  <c r="Q75" i="2"/>
  <c r="Q84" i="2" s="1"/>
  <c r="R72" i="2"/>
  <c r="W37" i="4"/>
  <c r="Z40" i="5"/>
  <c r="Z66" i="5"/>
  <c r="Z62" i="5"/>
  <c r="Z52" i="5"/>
  <c r="Z29" i="5"/>
  <c r="Z10" i="5"/>
  <c r="Z16" i="5"/>
  <c r="AA15" i="3"/>
  <c r="W21" i="4"/>
  <c r="V45" i="2"/>
  <c r="V60" i="2"/>
  <c r="X50" i="1"/>
  <c r="X70" i="2"/>
  <c r="X40" i="2"/>
  <c r="X82" i="2"/>
  <c r="X55" i="2"/>
  <c r="T224" i="2"/>
  <c r="Y9" i="3"/>
  <c r="Y86" i="2" s="1"/>
  <c r="X36" i="1"/>
  <c r="X23" i="1"/>
  <c r="X215" i="2"/>
  <c r="X96" i="2"/>
  <c r="X122" i="2" s="1"/>
  <c r="W17" i="4" l="1"/>
  <c r="W18" i="4" s="1"/>
  <c r="V177" i="2"/>
  <c r="V176" i="2"/>
  <c r="V178" i="2"/>
  <c r="S28" i="4"/>
  <c r="S42" i="4" s="1"/>
  <c r="T183" i="2"/>
  <c r="T29" i="4"/>
  <c r="S206" i="2"/>
  <c r="S16" i="1" s="1"/>
  <c r="S197" i="2"/>
  <c r="S199" i="2" s="1"/>
  <c r="S202" i="2"/>
  <c r="R17" i="5"/>
  <c r="R20" i="5" s="1"/>
  <c r="R53" i="1"/>
  <c r="Q17" i="5"/>
  <c r="Q20" i="5" s="1"/>
  <c r="Q53" i="1"/>
  <c r="U179" i="2"/>
  <c r="U182" i="6"/>
  <c r="U183" i="6"/>
  <c r="U184" i="6"/>
  <c r="U185" i="6"/>
  <c r="Y92" i="2"/>
  <c r="Z91" i="2"/>
  <c r="Z90" i="2"/>
  <c r="T59" i="2"/>
  <c r="U57" i="2" s="1"/>
  <c r="U58" i="2" s="1"/>
  <c r="U53" i="2" s="1"/>
  <c r="W44" i="2"/>
  <c r="X42" i="2" s="1"/>
  <c r="X43" i="2" s="1"/>
  <c r="W38" i="2"/>
  <c r="Z10" i="3"/>
  <c r="Z15" i="1" s="1"/>
  <c r="Y196" i="2"/>
  <c r="Y187" i="2"/>
  <c r="X37" i="4"/>
  <c r="AA66" i="5"/>
  <c r="AA40" i="5"/>
  <c r="AA29" i="5"/>
  <c r="AA62" i="5"/>
  <c r="AA16" i="5"/>
  <c r="AA52" i="5"/>
  <c r="AA10" i="5"/>
  <c r="V84" i="6"/>
  <c r="V83" i="6"/>
  <c r="V82" i="6"/>
  <c r="U85" i="6"/>
  <c r="U86" i="6" s="1"/>
  <c r="U41" i="5" s="1"/>
  <c r="S102" i="6"/>
  <c r="S103" i="6" s="1"/>
  <c r="S42" i="5" s="1"/>
  <c r="S119" i="6"/>
  <c r="S120" i="6" s="1"/>
  <c r="S43" i="5" s="1"/>
  <c r="V81" i="6"/>
  <c r="V80" i="6"/>
  <c r="V114" i="6"/>
  <c r="V118" i="6" s="1"/>
  <c r="W96" i="6"/>
  <c r="W101" i="6" s="1"/>
  <c r="W79" i="6"/>
  <c r="V52" i="6"/>
  <c r="V181" i="6" s="1"/>
  <c r="V53" i="6"/>
  <c r="V55" i="6" s="1"/>
  <c r="V58" i="6" s="1"/>
  <c r="U49" i="6"/>
  <c r="U154" i="6" s="1"/>
  <c r="U156" i="6" s="1"/>
  <c r="U157" i="6" s="1"/>
  <c r="U44" i="5" s="1"/>
  <c r="U48" i="6"/>
  <c r="X21" i="4"/>
  <c r="W51" i="6"/>
  <c r="W42" i="6"/>
  <c r="W43" i="6"/>
  <c r="W44" i="6"/>
  <c r="W45" i="6"/>
  <c r="W46" i="6"/>
  <c r="V47" i="6"/>
  <c r="T54" i="6"/>
  <c r="T57" i="6" s="1"/>
  <c r="X170" i="6"/>
  <c r="X41" i="6"/>
  <c r="X24" i="6"/>
  <c r="X70" i="6" s="1"/>
  <c r="X138" i="6"/>
  <c r="X153" i="6" s="1"/>
  <c r="Y15" i="6"/>
  <c r="Y180" i="6" s="1"/>
  <c r="Y182" i="2"/>
  <c r="W25" i="1"/>
  <c r="W217" i="2"/>
  <c r="W23" i="4" s="1"/>
  <c r="W37" i="1"/>
  <c r="W158" i="2"/>
  <c r="W175" i="2"/>
  <c r="V11" i="5"/>
  <c r="V14" i="5" s="1"/>
  <c r="X142" i="2"/>
  <c r="R73" i="2"/>
  <c r="T75" i="2"/>
  <c r="T84" i="2" s="1"/>
  <c r="W60" i="2"/>
  <c r="W45" i="2"/>
  <c r="Y50" i="1"/>
  <c r="Y55" i="2"/>
  <c r="Y70" i="2"/>
  <c r="Y40" i="2"/>
  <c r="Y82" i="2"/>
  <c r="U224" i="2"/>
  <c r="Z9" i="3"/>
  <c r="Z86" i="2" s="1"/>
  <c r="Y3" i="4"/>
  <c r="Y16" i="4" s="1"/>
  <c r="Y23" i="1"/>
  <c r="Y36" i="1"/>
  <c r="Y215" i="2"/>
  <c r="Y96" i="2"/>
  <c r="Y122" i="2" s="1"/>
  <c r="V179" i="2" l="1"/>
  <c r="V29" i="4" s="1"/>
  <c r="S218" i="2"/>
  <c r="S219" i="2" s="1"/>
  <c r="S27" i="1"/>
  <c r="S39" i="1"/>
  <c r="T206" i="2"/>
  <c r="T16" i="1" s="1"/>
  <c r="T197" i="2"/>
  <c r="T199" i="2" s="1"/>
  <c r="T202" i="2"/>
  <c r="S44" i="4"/>
  <c r="W176" i="2"/>
  <c r="W178" i="2"/>
  <c r="W177" i="2"/>
  <c r="U183" i="2"/>
  <c r="U29" i="4"/>
  <c r="Q67" i="5"/>
  <c r="Q24" i="5"/>
  <c r="Q34" i="5" s="1"/>
  <c r="Q53" i="5" s="1"/>
  <c r="R67" i="5"/>
  <c r="R24" i="5"/>
  <c r="R34" i="5" s="1"/>
  <c r="R53" i="5" s="1"/>
  <c r="T28" i="4"/>
  <c r="T42" i="4" s="1"/>
  <c r="V183" i="6"/>
  <c r="V185" i="6"/>
  <c r="V184" i="6"/>
  <c r="V182" i="6"/>
  <c r="Z92" i="2"/>
  <c r="X17" i="4"/>
  <c r="X18" i="4" s="1"/>
  <c r="X46" i="4" s="1"/>
  <c r="W46" i="4"/>
  <c r="R83" i="2"/>
  <c r="R68" i="2"/>
  <c r="U59" i="2"/>
  <c r="V57" i="2" s="1"/>
  <c r="V58" i="2" s="1"/>
  <c r="V53" i="2" s="1"/>
  <c r="X44" i="2"/>
  <c r="Y42" i="2" s="1"/>
  <c r="Y43" i="2" s="1"/>
  <c r="X38" i="2"/>
  <c r="AA10" i="3"/>
  <c r="AA15" i="1" s="1"/>
  <c r="C8" i="1" s="1"/>
  <c r="Z196" i="2"/>
  <c r="Z187" i="2"/>
  <c r="W11" i="5"/>
  <c r="W14" i="5" s="1"/>
  <c r="W84" i="6"/>
  <c r="W80" i="6"/>
  <c r="W83" i="6"/>
  <c r="W82" i="6"/>
  <c r="T102" i="6"/>
  <c r="T103" i="6" s="1"/>
  <c r="T42" i="5" s="1"/>
  <c r="T119" i="6"/>
  <c r="T120" i="6" s="1"/>
  <c r="T43" i="5" s="1"/>
  <c r="W81" i="6"/>
  <c r="V85" i="6"/>
  <c r="V86" i="6" s="1"/>
  <c r="V41" i="5" s="1"/>
  <c r="W114" i="6"/>
  <c r="W118" i="6" s="1"/>
  <c r="X96" i="6"/>
  <c r="X101" i="6" s="1"/>
  <c r="X79" i="6"/>
  <c r="W53" i="6"/>
  <c r="W55" i="6" s="1"/>
  <c r="W58" i="6" s="1"/>
  <c r="W52" i="6"/>
  <c r="W182" i="6" s="1"/>
  <c r="V49" i="6"/>
  <c r="V154" i="6" s="1"/>
  <c r="V156" i="6" s="1"/>
  <c r="V157" i="6" s="1"/>
  <c r="V44" i="5" s="1"/>
  <c r="V48" i="6"/>
  <c r="X51" i="6"/>
  <c r="X43" i="6"/>
  <c r="X45" i="6"/>
  <c r="X42" i="6"/>
  <c r="X44" i="6"/>
  <c r="X46" i="6"/>
  <c r="U54" i="6"/>
  <c r="U57" i="6" s="1"/>
  <c r="W47" i="6"/>
  <c r="Y170" i="6"/>
  <c r="Y41" i="6"/>
  <c r="Y24" i="6"/>
  <c r="Y70" i="6" s="1"/>
  <c r="Y138" i="6"/>
  <c r="Y153" i="6" s="1"/>
  <c r="Z15" i="6"/>
  <c r="Z180" i="6" s="1"/>
  <c r="Z182" i="2"/>
  <c r="X25" i="1"/>
  <c r="X158" i="2"/>
  <c r="X175" i="2"/>
  <c r="X217" i="2"/>
  <c r="X23" i="4" s="1"/>
  <c r="Y142" i="2"/>
  <c r="X37" i="1"/>
  <c r="R74" i="2"/>
  <c r="S72" i="2" s="1"/>
  <c r="U75" i="2"/>
  <c r="U84" i="2" s="1"/>
  <c r="Y37" i="4"/>
  <c r="Y21" i="4"/>
  <c r="X60" i="2"/>
  <c r="Z50" i="1"/>
  <c r="Z82" i="2"/>
  <c r="Z55" i="2"/>
  <c r="Z70" i="2"/>
  <c r="Z40" i="2"/>
  <c r="X45" i="2"/>
  <c r="W224" i="2"/>
  <c r="V224" i="2"/>
  <c r="Z3" i="4"/>
  <c r="Z16" i="4" s="1"/>
  <c r="AA9" i="3"/>
  <c r="AA86" i="2" s="1"/>
  <c r="Z23" i="1"/>
  <c r="Z36" i="1"/>
  <c r="Z215" i="2"/>
  <c r="Z96" i="2"/>
  <c r="Z122" i="2" s="1"/>
  <c r="V183" i="2" l="1"/>
  <c r="V202" i="2" s="1"/>
  <c r="T44" i="4"/>
  <c r="V28" i="4"/>
  <c r="V42" i="4" s="1"/>
  <c r="U28" i="4"/>
  <c r="U42" i="4" s="1"/>
  <c r="W179" i="2"/>
  <c r="X177" i="2"/>
  <c r="X176" i="2"/>
  <c r="X178" i="2"/>
  <c r="U206" i="2"/>
  <c r="U16" i="1" s="1"/>
  <c r="U197" i="2"/>
  <c r="U199" i="2" s="1"/>
  <c r="U202" i="2"/>
  <c r="T27" i="1"/>
  <c r="T218" i="2"/>
  <c r="T219" i="2" s="1"/>
  <c r="T39" i="1"/>
  <c r="S17" i="5"/>
  <c r="S20" i="5" s="1"/>
  <c r="S53" i="1"/>
  <c r="Y17" i="4"/>
  <c r="Y18" i="4" s="1"/>
  <c r="Y46" i="4" s="1"/>
  <c r="W183" i="6"/>
  <c r="W181" i="6"/>
  <c r="W184" i="6"/>
  <c r="W185" i="6"/>
  <c r="V59" i="2"/>
  <c r="W57" i="2" s="1"/>
  <c r="W58" i="2" s="1"/>
  <c r="W53" i="2" s="1"/>
  <c r="Y44" i="2"/>
  <c r="Z42" i="2" s="1"/>
  <c r="Z43" i="2" s="1"/>
  <c r="Y38" i="2"/>
  <c r="AA196" i="2"/>
  <c r="AA187" i="2"/>
  <c r="X11" i="5"/>
  <c r="X14" i="5" s="1"/>
  <c r="X84" i="6"/>
  <c r="X83" i="6"/>
  <c r="X82" i="6"/>
  <c r="X80" i="6"/>
  <c r="W85" i="6"/>
  <c r="W86" i="6" s="1"/>
  <c r="W41" i="5" s="1"/>
  <c r="U102" i="6"/>
  <c r="U103" i="6" s="1"/>
  <c r="U42" i="5" s="1"/>
  <c r="U119" i="6"/>
  <c r="U120" i="6" s="1"/>
  <c r="U43" i="5" s="1"/>
  <c r="X81" i="6"/>
  <c r="X114" i="6"/>
  <c r="X118" i="6" s="1"/>
  <c r="Y96" i="6"/>
  <c r="Y101" i="6" s="1"/>
  <c r="Y79" i="6"/>
  <c r="X52" i="6"/>
  <c r="X182" i="6" s="1"/>
  <c r="X53" i="6"/>
  <c r="X55" i="6" s="1"/>
  <c r="X58" i="6" s="1"/>
  <c r="W49" i="6"/>
  <c r="W154" i="6" s="1"/>
  <c r="W156" i="6" s="1"/>
  <c r="W157" i="6" s="1"/>
  <c r="W44" i="5" s="1"/>
  <c r="W48" i="6"/>
  <c r="Y51" i="6"/>
  <c r="Y42" i="6"/>
  <c r="Y44" i="6"/>
  <c r="Y46" i="6"/>
  <c r="Y43" i="6"/>
  <c r="Y45" i="6"/>
  <c r="X47" i="6"/>
  <c r="V54" i="6"/>
  <c r="V57" i="6" s="1"/>
  <c r="Z170" i="6"/>
  <c r="Z41" i="6"/>
  <c r="Z24" i="6"/>
  <c r="Z70" i="6" s="1"/>
  <c r="Z138" i="6"/>
  <c r="Z153" i="6" s="1"/>
  <c r="AA15" i="6"/>
  <c r="AA180" i="6" s="1"/>
  <c r="AA70" i="2"/>
  <c r="Z75" i="2" s="1"/>
  <c r="AA40" i="2"/>
  <c r="AA55" i="2"/>
  <c r="Z60" i="2" s="1"/>
  <c r="AA82" i="2"/>
  <c r="AA182" i="2"/>
  <c r="AA215" i="2"/>
  <c r="AA96" i="2"/>
  <c r="AA122" i="2" s="1"/>
  <c r="Y25" i="1"/>
  <c r="Y158" i="2"/>
  <c r="Y175" i="2"/>
  <c r="Z142" i="2"/>
  <c r="Y217" i="2"/>
  <c r="Y37" i="1"/>
  <c r="S73" i="2"/>
  <c r="Z37" i="4"/>
  <c r="Z21" i="4"/>
  <c r="Y45" i="2"/>
  <c r="Y60" i="2"/>
  <c r="AA3" i="4"/>
  <c r="AA50" i="1"/>
  <c r="X224" i="2"/>
  <c r="AA23" i="1"/>
  <c r="AA36" i="1"/>
  <c r="V206" i="2" l="1"/>
  <c r="V16" i="1" s="1"/>
  <c r="V197" i="2"/>
  <c r="V199" i="2" s="1"/>
  <c r="X179" i="2"/>
  <c r="X29" i="4" s="1"/>
  <c r="Y176" i="2"/>
  <c r="Y178" i="2"/>
  <c r="Y177" i="2"/>
  <c r="T17" i="5"/>
  <c r="T20" i="5" s="1"/>
  <c r="T53" i="1"/>
  <c r="V27" i="1"/>
  <c r="V39" i="1"/>
  <c r="V218" i="2"/>
  <c r="V219" i="2" s="1"/>
  <c r="W183" i="2"/>
  <c r="W29" i="4"/>
  <c r="S67" i="5"/>
  <c r="S24" i="5"/>
  <c r="S34" i="5" s="1"/>
  <c r="S53" i="5" s="1"/>
  <c r="U218" i="2"/>
  <c r="U219" i="2" s="1"/>
  <c r="U27" i="1"/>
  <c r="U39" i="1"/>
  <c r="U44" i="4"/>
  <c r="V44" i="4"/>
  <c r="Z17" i="4"/>
  <c r="Z18" i="4" s="1"/>
  <c r="Z46" i="4" s="1"/>
  <c r="X181" i="6"/>
  <c r="X185" i="6"/>
  <c r="X183" i="6"/>
  <c r="X184" i="6"/>
  <c r="S83" i="2"/>
  <c r="S68" i="2"/>
  <c r="W59" i="2"/>
  <c r="X57" i="2" s="1"/>
  <c r="X58" i="2" s="1"/>
  <c r="X53" i="2" s="1"/>
  <c r="Z44" i="2"/>
  <c r="AA42" i="2" s="1"/>
  <c r="Z38" i="2"/>
  <c r="C123" i="2"/>
  <c r="C18" i="1" s="1"/>
  <c r="C124" i="2"/>
  <c r="Y11" i="5"/>
  <c r="Y14" i="5" s="1"/>
  <c r="Y84" i="6"/>
  <c r="X85" i="6"/>
  <c r="X86" i="6" s="1"/>
  <c r="X41" i="5" s="1"/>
  <c r="Y82" i="6"/>
  <c r="Y83" i="6"/>
  <c r="Y80" i="6"/>
  <c r="Y81" i="6"/>
  <c r="V102" i="6"/>
  <c r="V103" i="6" s="1"/>
  <c r="V42" i="5" s="1"/>
  <c r="V119" i="6"/>
  <c r="V120" i="6" s="1"/>
  <c r="V43" i="5" s="1"/>
  <c r="Y114" i="6"/>
  <c r="Y118" i="6" s="1"/>
  <c r="Z96" i="6"/>
  <c r="Z101" i="6" s="1"/>
  <c r="Z79" i="6"/>
  <c r="Y53" i="6"/>
  <c r="Y55" i="6" s="1"/>
  <c r="Y58" i="6" s="1"/>
  <c r="Y52" i="6"/>
  <c r="Y182" i="6" s="1"/>
  <c r="X49" i="6"/>
  <c r="X154" i="6" s="1"/>
  <c r="X156" i="6" s="1"/>
  <c r="X157" i="6" s="1"/>
  <c r="X44" i="5" s="1"/>
  <c r="X48" i="6"/>
  <c r="Z51" i="6"/>
  <c r="Z42" i="6"/>
  <c r="Z43" i="6"/>
  <c r="Z44" i="6"/>
  <c r="Z45" i="6"/>
  <c r="Z46" i="6"/>
  <c r="W54" i="6"/>
  <c r="W57" i="6" s="1"/>
  <c r="Y47" i="6"/>
  <c r="AA170" i="6"/>
  <c r="AA41" i="6"/>
  <c r="AA24" i="6"/>
  <c r="AA70" i="6" s="1"/>
  <c r="AA138" i="6"/>
  <c r="AA153" i="6" s="1"/>
  <c r="AA21" i="4"/>
  <c r="AA16" i="4"/>
  <c r="AA142" i="2"/>
  <c r="Z25" i="1"/>
  <c r="Z158" i="2"/>
  <c r="Z175" i="2"/>
  <c r="Y23" i="4"/>
  <c r="Z45" i="2"/>
  <c r="Z84" i="2" s="1"/>
  <c r="Z37" i="1"/>
  <c r="Z217" i="2"/>
  <c r="Z23" i="4" s="1"/>
  <c r="S74" i="2"/>
  <c r="AA37" i="4"/>
  <c r="Y224" i="2"/>
  <c r="X183" i="2" l="1"/>
  <c r="X206" i="2" s="1"/>
  <c r="X16" i="1" s="1"/>
  <c r="Z177" i="2"/>
  <c r="Z176" i="2"/>
  <c r="Z178" i="2"/>
  <c r="W206" i="2"/>
  <c r="W16" i="1" s="1"/>
  <c r="W197" i="2"/>
  <c r="W199" i="2" s="1"/>
  <c r="W202" i="2"/>
  <c r="Y179" i="2"/>
  <c r="U17" i="5"/>
  <c r="U20" i="5" s="1"/>
  <c r="U53" i="1"/>
  <c r="W28" i="4"/>
  <c r="W42" i="4" s="1"/>
  <c r="X28" i="4"/>
  <c r="X42" i="4" s="1"/>
  <c r="V17" i="5"/>
  <c r="V20" i="5" s="1"/>
  <c r="V53" i="1"/>
  <c r="T67" i="5"/>
  <c r="T24" i="5"/>
  <c r="T34" i="5" s="1"/>
  <c r="T53" i="5" s="1"/>
  <c r="AA17" i="4"/>
  <c r="AA18" i="4" s="1"/>
  <c r="AA46" i="4" s="1"/>
  <c r="Y183" i="6"/>
  <c r="Y181" i="6"/>
  <c r="Y185" i="6"/>
  <c r="Y184" i="6"/>
  <c r="X59" i="2"/>
  <c r="Y57" i="2" s="1"/>
  <c r="Y58" i="2" s="1"/>
  <c r="Y53" i="2" s="1"/>
  <c r="H18" i="1"/>
  <c r="M18" i="1"/>
  <c r="R18" i="1"/>
  <c r="X18" i="1"/>
  <c r="K17" i="1"/>
  <c r="P17" i="1"/>
  <c r="V17" i="1"/>
  <c r="AA17" i="1"/>
  <c r="H17" i="1"/>
  <c r="D18" i="1"/>
  <c r="I18" i="1"/>
  <c r="N18" i="1"/>
  <c r="T18" i="1"/>
  <c r="Y18" i="1"/>
  <c r="L17" i="1"/>
  <c r="R17" i="1"/>
  <c r="W17" i="1"/>
  <c r="D17" i="1"/>
  <c r="J17" i="1"/>
  <c r="E18" i="1"/>
  <c r="J18" i="1"/>
  <c r="P18" i="1"/>
  <c r="U18" i="1"/>
  <c r="Z18" i="1"/>
  <c r="N17" i="1"/>
  <c r="S17" i="1"/>
  <c r="X17" i="1"/>
  <c r="F17" i="1"/>
  <c r="C17" i="1"/>
  <c r="F18" i="1"/>
  <c r="L18" i="1"/>
  <c r="Q18" i="1"/>
  <c r="V18" i="1"/>
  <c r="O17" i="1"/>
  <c r="T17" i="1"/>
  <c r="Z17" i="1"/>
  <c r="G17" i="1"/>
  <c r="U17" i="1"/>
  <c r="W18" i="1"/>
  <c r="G18" i="1"/>
  <c r="I17" i="1"/>
  <c r="Q17" i="1"/>
  <c r="S18" i="1"/>
  <c r="E17" i="1"/>
  <c r="M17" i="1"/>
  <c r="O18" i="1"/>
  <c r="Y17" i="1"/>
  <c r="AA18" i="1"/>
  <c r="K18" i="1"/>
  <c r="Z84" i="6"/>
  <c r="Y85" i="6"/>
  <c r="Y86" i="6" s="1"/>
  <c r="Y41" i="5" s="1"/>
  <c r="Z83" i="6"/>
  <c r="Z82" i="6"/>
  <c r="W102" i="6"/>
  <c r="W103" i="6" s="1"/>
  <c r="W42" i="5" s="1"/>
  <c r="W119" i="6"/>
  <c r="W120" i="6" s="1"/>
  <c r="W43" i="5" s="1"/>
  <c r="Z81" i="6"/>
  <c r="Z80" i="6"/>
  <c r="Z114" i="6"/>
  <c r="Z118" i="6" s="1"/>
  <c r="AA96" i="6"/>
  <c r="AA101" i="6" s="1"/>
  <c r="AA79" i="6"/>
  <c r="Z52" i="6"/>
  <c r="Z182" i="6" s="1"/>
  <c r="Z53" i="6"/>
  <c r="Z55" i="6" s="1"/>
  <c r="Z58" i="6" s="1"/>
  <c r="Y49" i="6"/>
  <c r="Y154" i="6" s="1"/>
  <c r="Y156" i="6" s="1"/>
  <c r="Y157" i="6" s="1"/>
  <c r="Y44" i="5" s="1"/>
  <c r="Y48" i="6"/>
  <c r="AA51" i="6"/>
  <c r="AA42" i="6"/>
  <c r="AA43" i="6"/>
  <c r="AA44" i="6"/>
  <c r="AA45" i="6"/>
  <c r="AA46" i="6"/>
  <c r="Z47" i="6"/>
  <c r="X54" i="6"/>
  <c r="X57" i="6" s="1"/>
  <c r="AA37" i="1"/>
  <c r="AA25" i="1"/>
  <c r="AA217" i="2"/>
  <c r="AA158" i="2"/>
  <c r="AA175" i="2"/>
  <c r="Z11" i="5"/>
  <c r="Z14" i="5" s="1"/>
  <c r="AA43" i="2"/>
  <c r="AA38" i="2" s="1"/>
  <c r="D37" i="2" s="1"/>
  <c r="C36" i="2" s="1"/>
  <c r="Z224" i="2"/>
  <c r="S75" i="2"/>
  <c r="S84" i="2" s="1"/>
  <c r="T72" i="2"/>
  <c r="X197" i="2" l="1"/>
  <c r="X199" i="2" s="1"/>
  <c r="X202" i="2"/>
  <c r="X27" i="1" s="1"/>
  <c r="W44" i="4"/>
  <c r="Z179" i="2"/>
  <c r="Z29" i="4" s="1"/>
  <c r="X44" i="4"/>
  <c r="AA176" i="2"/>
  <c r="AA178" i="2"/>
  <c r="AA177" i="2"/>
  <c r="V67" i="5"/>
  <c r="V24" i="5"/>
  <c r="V34" i="5" s="1"/>
  <c r="V53" i="5" s="1"/>
  <c r="U67" i="5"/>
  <c r="U24" i="5"/>
  <c r="U34" i="5" s="1"/>
  <c r="U53" i="5" s="1"/>
  <c r="Y183" i="2"/>
  <c r="Y29" i="4"/>
  <c r="W27" i="1"/>
  <c r="W218" i="2"/>
  <c r="W219" i="2" s="1"/>
  <c r="W39" i="1"/>
  <c r="AA90" i="2"/>
  <c r="Z185" i="6"/>
  <c r="Z183" i="6"/>
  <c r="Z184" i="6"/>
  <c r="Z181" i="6"/>
  <c r="Y59" i="2"/>
  <c r="Z57" i="2" s="1"/>
  <c r="Z58" i="2" s="1"/>
  <c r="Z53" i="2" s="1"/>
  <c r="AB17" i="1"/>
  <c r="AB18" i="1"/>
  <c r="AA11" i="5"/>
  <c r="AA14" i="5" s="1"/>
  <c r="AA84" i="6"/>
  <c r="AA83" i="6"/>
  <c r="AA82" i="6"/>
  <c r="Z85" i="6"/>
  <c r="Z86" i="6" s="1"/>
  <c r="Z41" i="5" s="1"/>
  <c r="X102" i="6"/>
  <c r="X103" i="6" s="1"/>
  <c r="X42" i="5" s="1"/>
  <c r="X119" i="6"/>
  <c r="X120" i="6" s="1"/>
  <c r="X43" i="5" s="1"/>
  <c r="AA81" i="6"/>
  <c r="AA80" i="6"/>
  <c r="AA114" i="6"/>
  <c r="AA118" i="6" s="1"/>
  <c r="AA53" i="6"/>
  <c r="AA55" i="6" s="1"/>
  <c r="AA58" i="6" s="1"/>
  <c r="AA52" i="6"/>
  <c r="AA182" i="6" s="1"/>
  <c r="Z49" i="6"/>
  <c r="Z154" i="6" s="1"/>
  <c r="Z156" i="6" s="1"/>
  <c r="Z157" i="6" s="1"/>
  <c r="Z44" i="5" s="1"/>
  <c r="Z48" i="6"/>
  <c r="AA47" i="6"/>
  <c r="Y54" i="6"/>
  <c r="Y57" i="6" s="1"/>
  <c r="AA23" i="4"/>
  <c r="AA44" i="2"/>
  <c r="AA45" i="2" s="1"/>
  <c r="T73" i="2"/>
  <c r="W75" i="2"/>
  <c r="W84" i="2" s="1"/>
  <c r="X39" i="1" l="1"/>
  <c r="X218" i="2"/>
  <c r="X219" i="2" s="1"/>
  <c r="Z183" i="2"/>
  <c r="Z202" i="2" s="1"/>
  <c r="Z28" i="4"/>
  <c r="Z42" i="4" s="1"/>
  <c r="W17" i="5"/>
  <c r="W20" i="5" s="1"/>
  <c r="W53" i="1"/>
  <c r="Y206" i="2"/>
  <c r="Y197" i="2"/>
  <c r="Y199" i="2" s="1"/>
  <c r="Y202" i="2"/>
  <c r="AA179" i="2"/>
  <c r="Z206" i="2"/>
  <c r="Z16" i="1" s="1"/>
  <c r="Y28" i="4"/>
  <c r="Y42" i="4" s="1"/>
  <c r="X17" i="5"/>
  <c r="X20" i="5" s="1"/>
  <c r="X53" i="1"/>
  <c r="AA181" i="6"/>
  <c r="AA183" i="6"/>
  <c r="AA184" i="6"/>
  <c r="AA185" i="6"/>
  <c r="T83" i="2"/>
  <c r="T68" i="2"/>
  <c r="Z59" i="2"/>
  <c r="AA57" i="2" s="1"/>
  <c r="AA58" i="2" s="1"/>
  <c r="AA53" i="2" s="1"/>
  <c r="D52" i="2" s="1"/>
  <c r="C51" i="2" s="1"/>
  <c r="AA85" i="6"/>
  <c r="AA86" i="6" s="1"/>
  <c r="AA41" i="5" s="1"/>
  <c r="Y102" i="6"/>
  <c r="Y103" i="6" s="1"/>
  <c r="Y42" i="5" s="1"/>
  <c r="Y119" i="6"/>
  <c r="Y120" i="6" s="1"/>
  <c r="Y43" i="5" s="1"/>
  <c r="AA49" i="6"/>
  <c r="AA154" i="6" s="1"/>
  <c r="AA48" i="6"/>
  <c r="AA54" i="6"/>
  <c r="AA57" i="6" s="1"/>
  <c r="Z54" i="6"/>
  <c r="Z57" i="6" s="1"/>
  <c r="T74" i="2"/>
  <c r="U72" i="2" s="1"/>
  <c r="Z197" i="2" l="1"/>
  <c r="Z199" i="2" s="1"/>
  <c r="Y44" i="4"/>
  <c r="Z27" i="1"/>
  <c r="Z39" i="1"/>
  <c r="Z218" i="2"/>
  <c r="Z219" i="2" s="1"/>
  <c r="Y27" i="1"/>
  <c r="Y218" i="2"/>
  <c r="Y219" i="2" s="1"/>
  <c r="Y39" i="1"/>
  <c r="Y16" i="1"/>
  <c r="W67" i="5"/>
  <c r="W24" i="5"/>
  <c r="W34" i="5" s="1"/>
  <c r="W53" i="5" s="1"/>
  <c r="X67" i="5"/>
  <c r="X24" i="5"/>
  <c r="X34" i="5" s="1"/>
  <c r="X53" i="5" s="1"/>
  <c r="AA183" i="2"/>
  <c r="AA29" i="4"/>
  <c r="Z44" i="4"/>
  <c r="AA59" i="2"/>
  <c r="AA60" i="2" s="1"/>
  <c r="AA156" i="6"/>
  <c r="AA157" i="6" s="1"/>
  <c r="AA44" i="5" s="1"/>
  <c r="C155" i="6"/>
  <c r="Z102" i="6"/>
  <c r="Z103" i="6" s="1"/>
  <c r="Z42" i="5" s="1"/>
  <c r="Z119" i="6"/>
  <c r="Z120" i="6" s="1"/>
  <c r="Z43" i="5" s="1"/>
  <c r="AA102" i="6"/>
  <c r="AA103" i="6" s="1"/>
  <c r="AA42" i="5" s="1"/>
  <c r="AA119" i="6"/>
  <c r="AA120" i="6" s="1"/>
  <c r="AA43" i="5" s="1"/>
  <c r="U73" i="2"/>
  <c r="Y75" i="2"/>
  <c r="Y84" i="2" s="1"/>
  <c r="AA28" i="4" l="1"/>
  <c r="AA42" i="4" s="1"/>
  <c r="Z17" i="5"/>
  <c r="Z20" i="5" s="1"/>
  <c r="Z53" i="1"/>
  <c r="AA197" i="2"/>
  <c r="AA199" i="2" s="1"/>
  <c r="AA206" i="2"/>
  <c r="AA202" i="2"/>
  <c r="Y17" i="5"/>
  <c r="Y20" i="5" s="1"/>
  <c r="Y53" i="1"/>
  <c r="U83" i="2"/>
  <c r="U68" i="2"/>
  <c r="U74" i="2"/>
  <c r="V72" i="2" s="1"/>
  <c r="X75" i="2"/>
  <c r="X84" i="2" s="1"/>
  <c r="Q22" i="4"/>
  <c r="Q34" i="4" s="1"/>
  <c r="AA44" i="4" l="1"/>
  <c r="AA39" i="1"/>
  <c r="AA91" i="2" s="1"/>
  <c r="AA92" i="2" s="1"/>
  <c r="AA27" i="1"/>
  <c r="AA218" i="2"/>
  <c r="AA219" i="2" s="1"/>
  <c r="C204" i="2"/>
  <c r="C203" i="2"/>
  <c r="D203" i="2" s="1"/>
  <c r="Z67" i="5"/>
  <c r="Z24" i="5"/>
  <c r="Z34" i="5" s="1"/>
  <c r="Z53" i="5" s="1"/>
  <c r="Y67" i="5"/>
  <c r="Y24" i="5"/>
  <c r="Y34" i="5" s="1"/>
  <c r="Y53" i="5" s="1"/>
  <c r="AA16" i="1"/>
  <c r="AB16" i="1" s="1"/>
  <c r="C207" i="2"/>
  <c r="C208" i="2"/>
  <c r="Q38" i="4"/>
  <c r="Q47" i="4"/>
  <c r="V73" i="2"/>
  <c r="Q238" i="2"/>
  <c r="R22" i="4"/>
  <c r="R34" i="4" s="1"/>
  <c r="C68" i="5" l="1"/>
  <c r="J19" i="1"/>
  <c r="J20" i="1" s="1"/>
  <c r="R19" i="1"/>
  <c r="R20" i="1" s="1"/>
  <c r="Z19" i="1"/>
  <c r="Z20" i="1" s="1"/>
  <c r="K19" i="1"/>
  <c r="K20" i="1" s="1"/>
  <c r="S19" i="1"/>
  <c r="S20" i="1" s="1"/>
  <c r="AA19" i="1"/>
  <c r="AA20" i="1" s="1"/>
  <c r="L19" i="1"/>
  <c r="L20" i="1" s="1"/>
  <c r="C19" i="1"/>
  <c r="C20" i="1" s="1"/>
  <c r="U19" i="1"/>
  <c r="U20" i="1" s="1"/>
  <c r="P19" i="1"/>
  <c r="P20" i="1" s="1"/>
  <c r="E19" i="1"/>
  <c r="E20" i="1" s="1"/>
  <c r="Q19" i="1"/>
  <c r="Q20" i="1" s="1"/>
  <c r="F19" i="1"/>
  <c r="F20" i="1" s="1"/>
  <c r="N19" i="1"/>
  <c r="N20" i="1" s="1"/>
  <c r="V19" i="1"/>
  <c r="V20" i="1" s="1"/>
  <c r="G19" i="1"/>
  <c r="G20" i="1" s="1"/>
  <c r="O19" i="1"/>
  <c r="O20" i="1" s="1"/>
  <c r="W19" i="1"/>
  <c r="W20" i="1" s="1"/>
  <c r="H19" i="1"/>
  <c r="H20" i="1" s="1"/>
  <c r="T19" i="1"/>
  <c r="T20" i="1" s="1"/>
  <c r="M19" i="1"/>
  <c r="M20" i="1" s="1"/>
  <c r="D19" i="1"/>
  <c r="X19" i="1"/>
  <c r="X20" i="1" s="1"/>
  <c r="I19" i="1"/>
  <c r="I20" i="1" s="1"/>
  <c r="Y19" i="1"/>
  <c r="Y20" i="1" s="1"/>
  <c r="AA17" i="5"/>
  <c r="AA20" i="5" s="1"/>
  <c r="AA53" i="1"/>
  <c r="R38" i="4"/>
  <c r="R47" i="4"/>
  <c r="V83" i="2"/>
  <c r="V68" i="2"/>
  <c r="J28" i="1"/>
  <c r="O28" i="1"/>
  <c r="G28" i="1"/>
  <c r="V28" i="1"/>
  <c r="T28" i="1"/>
  <c r="P28" i="1"/>
  <c r="Z28" i="1"/>
  <c r="K28" i="1"/>
  <c r="R28" i="1"/>
  <c r="N28" i="1"/>
  <c r="L28" i="1"/>
  <c r="F28" i="1"/>
  <c r="H28" i="1"/>
  <c r="W28" i="1"/>
  <c r="X28" i="1"/>
  <c r="I28" i="1"/>
  <c r="E28" i="1"/>
  <c r="M28" i="1"/>
  <c r="S28" i="1"/>
  <c r="Q28" i="1"/>
  <c r="Y28" i="1"/>
  <c r="U28" i="1"/>
  <c r="D28" i="1"/>
  <c r="C28" i="1"/>
  <c r="V74" i="2"/>
  <c r="M52" i="1"/>
  <c r="M38" i="1"/>
  <c r="M42" i="1" s="1"/>
  <c r="Q52" i="1"/>
  <c r="Q38" i="1"/>
  <c r="Q42" i="1" s="1"/>
  <c r="Y52" i="1"/>
  <c r="Y38" i="1"/>
  <c r="Y42" i="1" s="1"/>
  <c r="D52" i="1"/>
  <c r="D94" i="1" s="1"/>
  <c r="D38" i="1"/>
  <c r="D42" i="1" s="1"/>
  <c r="O52" i="1"/>
  <c r="O38" i="1"/>
  <c r="O42" i="1" s="1"/>
  <c r="G52" i="1"/>
  <c r="G38" i="1"/>
  <c r="G42" i="1" s="1"/>
  <c r="T52" i="1"/>
  <c r="T38" i="1"/>
  <c r="T42" i="1" s="1"/>
  <c r="P52" i="1"/>
  <c r="P38" i="1"/>
  <c r="P42" i="1" s="1"/>
  <c r="Z52" i="1"/>
  <c r="Z38" i="1"/>
  <c r="Z42" i="1" s="1"/>
  <c r="K52" i="1"/>
  <c r="K38" i="1"/>
  <c r="K42" i="1" s="1"/>
  <c r="R52" i="1"/>
  <c r="R38" i="1"/>
  <c r="R42" i="1" s="1"/>
  <c r="N52" i="1"/>
  <c r="N38" i="1"/>
  <c r="N42" i="1" s="1"/>
  <c r="L52" i="1"/>
  <c r="L38" i="1"/>
  <c r="L42" i="1" s="1"/>
  <c r="F52" i="1"/>
  <c r="F38" i="1"/>
  <c r="F42" i="1" s="1"/>
  <c r="H52" i="1"/>
  <c r="H38" i="1"/>
  <c r="H42" i="1" s="1"/>
  <c r="S52" i="1"/>
  <c r="S38" i="1"/>
  <c r="S42" i="1" s="1"/>
  <c r="U52" i="1"/>
  <c r="U38" i="1"/>
  <c r="U42" i="1" s="1"/>
  <c r="V52" i="1"/>
  <c r="V38" i="1"/>
  <c r="V42" i="1" s="1"/>
  <c r="W52" i="1"/>
  <c r="W38" i="1"/>
  <c r="W42" i="1" s="1"/>
  <c r="J52" i="1"/>
  <c r="J38" i="1"/>
  <c r="J42" i="1" s="1"/>
  <c r="C52" i="1"/>
  <c r="C38" i="1"/>
  <c r="C42" i="1" s="1"/>
  <c r="X52" i="1"/>
  <c r="X38" i="1"/>
  <c r="X42" i="1" s="1"/>
  <c r="I52" i="1"/>
  <c r="I38" i="1"/>
  <c r="I42" i="1" s="1"/>
  <c r="E52" i="1"/>
  <c r="E38" i="1"/>
  <c r="E42" i="1" s="1"/>
  <c r="S22" i="4"/>
  <c r="S34" i="4" s="1"/>
  <c r="R238" i="2"/>
  <c r="AA67" i="5" l="1"/>
  <c r="AA24" i="5"/>
  <c r="AA34" i="5" s="1"/>
  <c r="AA53" i="5" s="1"/>
  <c r="AB19" i="1"/>
  <c r="AB20" i="1" s="1"/>
  <c r="D20" i="1"/>
  <c r="S38" i="4"/>
  <c r="S47" i="4"/>
  <c r="V75" i="2"/>
  <c r="V84" i="2" s="1"/>
  <c r="W72" i="2"/>
  <c r="I90" i="1"/>
  <c r="I78" i="1"/>
  <c r="I66" i="1"/>
  <c r="I91" i="1"/>
  <c r="I54" i="1"/>
  <c r="I77" i="1"/>
  <c r="I67" i="1"/>
  <c r="I94" i="1"/>
  <c r="I80" i="1"/>
  <c r="I81" i="1"/>
  <c r="I68" i="1"/>
  <c r="I92" i="1"/>
  <c r="I93" i="1"/>
  <c r="I79" i="1"/>
  <c r="I64" i="1"/>
  <c r="I65" i="1"/>
  <c r="J94" i="1"/>
  <c r="J77" i="1"/>
  <c r="J65" i="1"/>
  <c r="J91" i="1"/>
  <c r="J93" i="1"/>
  <c r="J79" i="1"/>
  <c r="J81" i="1"/>
  <c r="J66" i="1"/>
  <c r="J92" i="1"/>
  <c r="J90" i="1"/>
  <c r="J80" i="1"/>
  <c r="J68" i="1"/>
  <c r="J54" i="1"/>
  <c r="J64" i="1"/>
  <c r="J78" i="1"/>
  <c r="J67" i="1"/>
  <c r="U92" i="1"/>
  <c r="U93" i="1"/>
  <c r="U67" i="1"/>
  <c r="U68" i="1"/>
  <c r="U78" i="1"/>
  <c r="U91" i="1"/>
  <c r="U94" i="1"/>
  <c r="U64" i="1"/>
  <c r="U66" i="1"/>
  <c r="U90" i="1"/>
  <c r="U80" i="1"/>
  <c r="U65" i="1"/>
  <c r="U77" i="1"/>
  <c r="U81" i="1"/>
  <c r="U54" i="1"/>
  <c r="U79" i="1"/>
  <c r="S92" i="1"/>
  <c r="S91" i="1"/>
  <c r="S65" i="1"/>
  <c r="S68" i="1"/>
  <c r="S79" i="1"/>
  <c r="S90" i="1"/>
  <c r="S93" i="1"/>
  <c r="S54" i="1"/>
  <c r="S77" i="1"/>
  <c r="S80" i="1"/>
  <c r="S94" i="1"/>
  <c r="S64" i="1"/>
  <c r="S67" i="1"/>
  <c r="S81" i="1"/>
  <c r="S78" i="1"/>
  <c r="S66" i="1"/>
  <c r="H91" i="1"/>
  <c r="H77" i="1"/>
  <c r="H65" i="1"/>
  <c r="H66" i="1"/>
  <c r="H94" i="1"/>
  <c r="H78" i="1"/>
  <c r="H64" i="1"/>
  <c r="H92" i="1"/>
  <c r="H93" i="1"/>
  <c r="H54" i="1"/>
  <c r="H80" i="1"/>
  <c r="H68" i="1"/>
  <c r="H90" i="1"/>
  <c r="H81" i="1"/>
  <c r="H79" i="1"/>
  <c r="H67" i="1"/>
  <c r="F93" i="1"/>
  <c r="F81" i="1"/>
  <c r="F65" i="1"/>
  <c r="F67" i="1"/>
  <c r="F91" i="1"/>
  <c r="F78" i="1"/>
  <c r="F66" i="1"/>
  <c r="F92" i="1"/>
  <c r="F90" i="1"/>
  <c r="F54" i="1"/>
  <c r="F77" i="1"/>
  <c r="F68" i="1"/>
  <c r="F94" i="1"/>
  <c r="F79" i="1"/>
  <c r="F80" i="1"/>
  <c r="F64" i="1"/>
  <c r="L91" i="1"/>
  <c r="L54" i="1"/>
  <c r="L80" i="1"/>
  <c r="L66" i="1"/>
  <c r="L94" i="1"/>
  <c r="L68" i="1"/>
  <c r="L81" i="1"/>
  <c r="L77" i="1"/>
  <c r="L92" i="1"/>
  <c r="L90" i="1"/>
  <c r="L64" i="1"/>
  <c r="L65" i="1"/>
  <c r="L79" i="1"/>
  <c r="L93" i="1"/>
  <c r="L67" i="1"/>
  <c r="L78" i="1"/>
  <c r="N91" i="1"/>
  <c r="N66" i="1"/>
  <c r="N64" i="1"/>
  <c r="N78" i="1"/>
  <c r="N90" i="1"/>
  <c r="N92" i="1"/>
  <c r="N93" i="1"/>
  <c r="N54" i="1"/>
  <c r="N80" i="1"/>
  <c r="N77" i="1"/>
  <c r="N94" i="1"/>
  <c r="N67" i="1"/>
  <c r="N81" i="1"/>
  <c r="N65" i="1"/>
  <c r="N79" i="1"/>
  <c r="N68" i="1"/>
  <c r="R90" i="1"/>
  <c r="R66" i="1"/>
  <c r="R81" i="1"/>
  <c r="R77" i="1"/>
  <c r="R91" i="1"/>
  <c r="R92" i="1"/>
  <c r="R94" i="1"/>
  <c r="R54" i="1"/>
  <c r="R67" i="1"/>
  <c r="R65" i="1"/>
  <c r="R93" i="1"/>
  <c r="R64" i="1"/>
  <c r="R79" i="1"/>
  <c r="R78" i="1"/>
  <c r="R68" i="1"/>
  <c r="R80" i="1"/>
  <c r="K90" i="1"/>
  <c r="K54" i="1"/>
  <c r="K67" i="1"/>
  <c r="K65" i="1"/>
  <c r="K93" i="1"/>
  <c r="K92" i="1"/>
  <c r="K94" i="1"/>
  <c r="K66" i="1"/>
  <c r="K64" i="1"/>
  <c r="K81" i="1"/>
  <c r="K91" i="1"/>
  <c r="K78" i="1"/>
  <c r="K68" i="1"/>
  <c r="K79" i="1"/>
  <c r="K80" i="1"/>
  <c r="K77" i="1"/>
  <c r="E94" i="1"/>
  <c r="E81" i="1"/>
  <c r="E68" i="1"/>
  <c r="E93" i="1"/>
  <c r="E54" i="1"/>
  <c r="E90" i="1"/>
  <c r="E80" i="1"/>
  <c r="E79" i="1"/>
  <c r="E67" i="1"/>
  <c r="E92" i="1"/>
  <c r="E91" i="1"/>
  <c r="E64" i="1"/>
  <c r="E77" i="1"/>
  <c r="E66" i="1"/>
  <c r="E78" i="1"/>
  <c r="E65" i="1"/>
  <c r="X90" i="1"/>
  <c r="X64" i="1"/>
  <c r="X77" i="1"/>
  <c r="X67" i="1"/>
  <c r="X91" i="1"/>
  <c r="X94" i="1"/>
  <c r="X65" i="1"/>
  <c r="X81" i="1"/>
  <c r="X92" i="1"/>
  <c r="X93" i="1"/>
  <c r="X68" i="1"/>
  <c r="X80" i="1"/>
  <c r="X78" i="1"/>
  <c r="X66" i="1"/>
  <c r="X54" i="1"/>
  <c r="X79" i="1"/>
  <c r="C93" i="1"/>
  <c r="C80" i="1"/>
  <c r="C65" i="1"/>
  <c r="C94" i="1"/>
  <c r="C90" i="1"/>
  <c r="C78" i="1"/>
  <c r="C79" i="1"/>
  <c r="C67" i="1"/>
  <c r="C92" i="1"/>
  <c r="C91" i="1"/>
  <c r="C54" i="1"/>
  <c r="C68" i="1"/>
  <c r="C81" i="1"/>
  <c r="C64" i="1"/>
  <c r="C77" i="1"/>
  <c r="C66" i="1"/>
  <c r="W91" i="1"/>
  <c r="W78" i="1"/>
  <c r="W65" i="1"/>
  <c r="W67" i="1"/>
  <c r="W90" i="1"/>
  <c r="W93" i="1"/>
  <c r="W64" i="1"/>
  <c r="W66" i="1"/>
  <c r="W92" i="1"/>
  <c r="W94" i="1"/>
  <c r="W81" i="1"/>
  <c r="W54" i="1"/>
  <c r="W79" i="1"/>
  <c r="W80" i="1"/>
  <c r="W68" i="1"/>
  <c r="W77" i="1"/>
  <c r="V93" i="1"/>
  <c r="V79" i="1"/>
  <c r="V77" i="1"/>
  <c r="V80" i="1"/>
  <c r="V92" i="1"/>
  <c r="V90" i="1"/>
  <c r="V91" i="1"/>
  <c r="V65" i="1"/>
  <c r="V68" i="1"/>
  <c r="V94" i="1"/>
  <c r="V81" i="1"/>
  <c r="V54" i="1"/>
  <c r="V67" i="1"/>
  <c r="V66" i="1"/>
  <c r="V64" i="1"/>
  <c r="V78" i="1"/>
  <c r="Z90" i="1"/>
  <c r="Z79" i="1"/>
  <c r="Z78" i="1"/>
  <c r="Z81" i="1"/>
  <c r="Z92" i="1"/>
  <c r="Z93" i="1"/>
  <c r="Z66" i="1"/>
  <c r="Z77" i="1"/>
  <c r="Z68" i="1"/>
  <c r="Z91" i="1"/>
  <c r="Z64" i="1"/>
  <c r="Z67" i="1"/>
  <c r="Z94" i="1"/>
  <c r="Z54" i="1"/>
  <c r="Z65" i="1"/>
  <c r="Z80" i="1"/>
  <c r="P91" i="1"/>
  <c r="P68" i="1"/>
  <c r="P67" i="1"/>
  <c r="P66" i="1"/>
  <c r="P92" i="1"/>
  <c r="P94" i="1"/>
  <c r="P64" i="1"/>
  <c r="P80" i="1"/>
  <c r="P65" i="1"/>
  <c r="P93" i="1"/>
  <c r="P77" i="1"/>
  <c r="P81" i="1"/>
  <c r="P90" i="1"/>
  <c r="P54" i="1"/>
  <c r="P79" i="1"/>
  <c r="P78" i="1"/>
  <c r="T93" i="1"/>
  <c r="T54" i="1"/>
  <c r="T81" i="1"/>
  <c r="T80" i="1"/>
  <c r="T92" i="1"/>
  <c r="T91" i="1"/>
  <c r="T94" i="1"/>
  <c r="T68" i="1"/>
  <c r="T79" i="1"/>
  <c r="T78" i="1"/>
  <c r="T90" i="1"/>
  <c r="T77" i="1"/>
  <c r="T67" i="1"/>
  <c r="T64" i="1"/>
  <c r="T65" i="1"/>
  <c r="T66" i="1"/>
  <c r="G93" i="1"/>
  <c r="G77" i="1"/>
  <c r="G65" i="1"/>
  <c r="G92" i="1"/>
  <c r="G94" i="1"/>
  <c r="G90" i="1"/>
  <c r="G78" i="1"/>
  <c r="G79" i="1"/>
  <c r="G64" i="1"/>
  <c r="G91" i="1"/>
  <c r="G54" i="1"/>
  <c r="G68" i="1"/>
  <c r="G80" i="1"/>
  <c r="G81" i="1"/>
  <c r="G66" i="1"/>
  <c r="G67" i="1"/>
  <c r="O93" i="1"/>
  <c r="O81" i="1"/>
  <c r="O79" i="1"/>
  <c r="O92" i="1"/>
  <c r="O94" i="1"/>
  <c r="O90" i="1"/>
  <c r="O78" i="1"/>
  <c r="O80" i="1"/>
  <c r="O64" i="1"/>
  <c r="O91" i="1"/>
  <c r="O65" i="1"/>
  <c r="O66" i="1"/>
  <c r="O54" i="1"/>
  <c r="O67" i="1"/>
  <c r="O68" i="1"/>
  <c r="O77" i="1"/>
  <c r="D92" i="1"/>
  <c r="D93" i="1"/>
  <c r="D54" i="1"/>
  <c r="D81" i="1"/>
  <c r="D67" i="1"/>
  <c r="D90" i="1"/>
  <c r="D77" i="1"/>
  <c r="D78" i="1"/>
  <c r="D66" i="1"/>
  <c r="D80" i="1"/>
  <c r="D68" i="1"/>
  <c r="D64" i="1"/>
  <c r="D91" i="1"/>
  <c r="D79" i="1"/>
  <c r="D65" i="1"/>
  <c r="Y92" i="1"/>
  <c r="Y93" i="1"/>
  <c r="Y54" i="1"/>
  <c r="Y79" i="1"/>
  <c r="Y68" i="1"/>
  <c r="Y90" i="1"/>
  <c r="Y94" i="1"/>
  <c r="Y67" i="1"/>
  <c r="Y64" i="1"/>
  <c r="Y65" i="1"/>
  <c r="Y91" i="1"/>
  <c r="Y78" i="1"/>
  <c r="Y77" i="1"/>
  <c r="Y80" i="1"/>
  <c r="Y81" i="1"/>
  <c r="Y66" i="1"/>
  <c r="Q92" i="1"/>
  <c r="Q94" i="1"/>
  <c r="Q54" i="1"/>
  <c r="Q81" i="1"/>
  <c r="Q79" i="1"/>
  <c r="Q93" i="1"/>
  <c r="Q91" i="1"/>
  <c r="Q67" i="1"/>
  <c r="Q65" i="1"/>
  <c r="Q77" i="1"/>
  <c r="Q90" i="1"/>
  <c r="Q80" i="1"/>
  <c r="Q64" i="1"/>
  <c r="Q68" i="1"/>
  <c r="Q78" i="1"/>
  <c r="Q66" i="1"/>
  <c r="M92" i="1"/>
  <c r="M90" i="1"/>
  <c r="M80" i="1"/>
  <c r="M78" i="1"/>
  <c r="M77" i="1"/>
  <c r="M93" i="1"/>
  <c r="M94" i="1"/>
  <c r="M54" i="1"/>
  <c r="M66" i="1"/>
  <c r="M81" i="1"/>
  <c r="M91" i="1"/>
  <c r="M68" i="1"/>
  <c r="M67" i="1"/>
  <c r="M64" i="1"/>
  <c r="M65" i="1"/>
  <c r="M79" i="1"/>
  <c r="S238" i="2"/>
  <c r="T22" i="4"/>
  <c r="T34" i="4" s="1"/>
  <c r="C9" i="1" l="1"/>
  <c r="C10" i="1" s="1"/>
  <c r="T38" i="4"/>
  <c r="T47" i="4"/>
  <c r="W73" i="2"/>
  <c r="T238" i="2"/>
  <c r="W83" i="2" l="1"/>
  <c r="W68" i="2"/>
  <c r="W74" i="2"/>
  <c r="X72" i="2" s="1"/>
  <c r="U22" i="4"/>
  <c r="U34" i="4" s="1"/>
  <c r="U38" i="4" l="1"/>
  <c r="U47" i="4"/>
  <c r="X73" i="2"/>
  <c r="U238" i="2"/>
  <c r="X83" i="2" l="1"/>
  <c r="X68" i="2"/>
  <c r="X74" i="2"/>
  <c r="Y72" i="2" s="1"/>
  <c r="V22" i="4"/>
  <c r="V34" i="4" s="1"/>
  <c r="V38" i="4" l="1"/>
  <c r="V47" i="4"/>
  <c r="Y73" i="2"/>
  <c r="V238" i="2"/>
  <c r="Y83" i="2" l="1"/>
  <c r="Y68" i="2"/>
  <c r="Y74" i="2"/>
  <c r="Z72" i="2" s="1"/>
  <c r="W22" i="4"/>
  <c r="W34" i="4" s="1"/>
  <c r="W238" i="2"/>
  <c r="W38" i="4" l="1"/>
  <c r="W47" i="4"/>
  <c r="Z73" i="2"/>
  <c r="X22" i="4"/>
  <c r="X34" i="4" s="1"/>
  <c r="X238" i="2"/>
  <c r="X38" i="4" l="1"/>
  <c r="X47" i="4"/>
  <c r="Z83" i="2"/>
  <c r="Z68" i="2"/>
  <c r="Z74" i="2"/>
  <c r="Y22" i="4"/>
  <c r="Y34" i="4" s="1"/>
  <c r="Y238" i="2"/>
  <c r="Y38" i="4" l="1"/>
  <c r="Y47" i="4"/>
  <c r="AA72" i="2"/>
  <c r="Z22" i="4"/>
  <c r="Z34" i="4" s="1"/>
  <c r="Z238" i="2"/>
  <c r="Z38" i="4" l="1"/>
  <c r="Z47" i="4"/>
  <c r="AA73" i="2"/>
  <c r="AA83" i="2" l="1"/>
  <c r="AA68" i="2"/>
  <c r="D67" i="2" s="1"/>
  <c r="C66" i="2" s="1"/>
  <c r="C87" i="2" s="1"/>
  <c r="AA74" i="2"/>
  <c r="K88" i="2" l="1"/>
  <c r="S88" i="2"/>
  <c r="AA88" i="2"/>
  <c r="L88" i="2"/>
  <c r="F88" i="2"/>
  <c r="N88" i="2"/>
  <c r="V88" i="2"/>
  <c r="T88" i="2"/>
  <c r="G88" i="2"/>
  <c r="O88" i="2"/>
  <c r="W88" i="2"/>
  <c r="C88" i="2"/>
  <c r="J88" i="2"/>
  <c r="R88" i="2"/>
  <c r="Z88" i="2"/>
  <c r="Q88" i="2"/>
  <c r="X88" i="2"/>
  <c r="M88" i="2"/>
  <c r="P88" i="2"/>
  <c r="Y88" i="2"/>
  <c r="I88" i="2"/>
  <c r="H88" i="2"/>
  <c r="U88" i="2"/>
  <c r="D88" i="2"/>
  <c r="E88" i="2"/>
  <c r="AA75" i="2"/>
  <c r="AA84" i="2" s="1"/>
  <c r="C89" i="2" l="1"/>
  <c r="AA223" i="2"/>
  <c r="AA26" i="1"/>
  <c r="C14" i="1" l="1"/>
  <c r="C11" i="1" s="1"/>
  <c r="C12" i="1" s="1"/>
  <c r="I22" i="2" s="1"/>
  <c r="K22" i="2" s="1"/>
  <c r="AA54" i="5"/>
  <c r="AA52" i="1"/>
  <c r="AA80" i="1" s="1"/>
  <c r="AA38" i="1"/>
  <c r="AA42" i="1" s="1"/>
  <c r="AA28" i="1"/>
  <c r="C33" i="1" s="1"/>
  <c r="AA224" i="2"/>
  <c r="AA238" i="2" s="1"/>
  <c r="AA22" i="4"/>
  <c r="AA34" i="4" s="1"/>
  <c r="G28" i="2"/>
  <c r="J28" i="2"/>
  <c r="I27" i="2"/>
  <c r="H28" i="2"/>
  <c r="H226" i="2"/>
  <c r="H236" i="2" s="1"/>
  <c r="H238" i="2" s="1"/>
  <c r="I28" i="2"/>
  <c r="J27" i="2"/>
  <c r="J226" i="2"/>
  <c r="J236" i="2" s="1"/>
  <c r="J238" i="2" s="1"/>
  <c r="G27" i="2"/>
  <c r="G226" i="2"/>
  <c r="G24" i="4" s="1"/>
  <c r="G22" i="4" s="1"/>
  <c r="G34" i="4" s="1"/>
  <c r="F27" i="2"/>
  <c r="C47" i="1" l="1"/>
  <c r="C44" i="1"/>
  <c r="G38" i="4"/>
  <c r="G47" i="4"/>
  <c r="AA38" i="4"/>
  <c r="AA47" i="4"/>
  <c r="AA79" i="1"/>
  <c r="E85" i="1" s="1"/>
  <c r="AA64" i="1"/>
  <c r="E70" i="1" s="1"/>
  <c r="AA92" i="1"/>
  <c r="E98" i="1" s="1"/>
  <c r="AA90" i="1"/>
  <c r="C96" i="1" s="1"/>
  <c r="AA54" i="1"/>
  <c r="C55" i="1" s="1"/>
  <c r="AA94" i="1"/>
  <c r="C100" i="1" s="1"/>
  <c r="AA77" i="1"/>
  <c r="E83" i="1" s="1"/>
  <c r="AA67" i="1"/>
  <c r="E73" i="1" s="1"/>
  <c r="AA78" i="1"/>
  <c r="E84" i="1" s="1"/>
  <c r="AA91" i="1"/>
  <c r="C97" i="1" s="1"/>
  <c r="AA68" i="1"/>
  <c r="C74" i="1" s="1"/>
  <c r="AA65" i="1"/>
  <c r="C71" i="1" s="1"/>
  <c r="AA66" i="1"/>
  <c r="E72" i="1" s="1"/>
  <c r="AA93" i="1"/>
  <c r="C99" i="1" s="1"/>
  <c r="AA81" i="1"/>
  <c r="C87" i="1" s="1"/>
  <c r="C30" i="1"/>
  <c r="C56" i="1"/>
  <c r="E86" i="1"/>
  <c r="C86" i="1"/>
  <c r="J24" i="4"/>
  <c r="J22" i="4" s="1"/>
  <c r="J34" i="4" s="1"/>
  <c r="G236" i="2"/>
  <c r="G238" i="2" s="1"/>
  <c r="F226" i="2"/>
  <c r="H24" i="4"/>
  <c r="H22" i="4" s="1"/>
  <c r="H34" i="4" s="1"/>
  <c r="H27" i="2"/>
  <c r="F28" i="2"/>
  <c r="I226" i="2"/>
  <c r="C85" i="1" l="1"/>
  <c r="D85" i="1" s="1"/>
  <c r="J38" i="4"/>
  <c r="J47" i="4"/>
  <c r="H38" i="4"/>
  <c r="H47" i="4"/>
  <c r="C70" i="1"/>
  <c r="C72" i="1"/>
  <c r="D72" i="1" s="1"/>
  <c r="C84" i="1"/>
  <c r="E96" i="1"/>
  <c r="E71" i="1"/>
  <c r="C73" i="1"/>
  <c r="D73" i="1" s="1"/>
  <c r="E87" i="1"/>
  <c r="E99" i="1"/>
  <c r="E97" i="1"/>
  <c r="C98" i="1"/>
  <c r="D98" i="1" s="1"/>
  <c r="C83" i="1"/>
  <c r="E74" i="1"/>
  <c r="E100" i="1"/>
  <c r="I24" i="4"/>
  <c r="I22" i="4" s="1"/>
  <c r="I34" i="4" s="1"/>
  <c r="I236" i="2"/>
  <c r="I238" i="2" s="1"/>
  <c r="F236" i="2"/>
  <c r="F238" i="2" s="1"/>
  <c r="F240" i="2" s="1"/>
  <c r="G239" i="2" s="1"/>
  <c r="F24" i="4"/>
  <c r="F22" i="4" s="1"/>
  <c r="K27" i="2"/>
  <c r="K28" i="2"/>
  <c r="B28" i="2" s="1"/>
  <c r="D83" i="1" l="1"/>
  <c r="D87" i="1"/>
  <c r="D86" i="1"/>
  <c r="D84" i="1"/>
  <c r="I38" i="4"/>
  <c r="I47" i="4"/>
  <c r="D70" i="1"/>
  <c r="D74" i="1"/>
  <c r="D71" i="1"/>
  <c r="D100" i="1"/>
  <c r="D99" i="1"/>
  <c r="D96" i="1"/>
  <c r="D97" i="1"/>
  <c r="F34" i="4"/>
  <c r="G240" i="2"/>
  <c r="H239" i="2" s="1"/>
  <c r="F38" i="4" l="1"/>
  <c r="F40" i="4" s="1"/>
  <c r="F48" i="4" s="1"/>
  <c r="F47" i="4"/>
  <c r="H240" i="2"/>
  <c r="I239" i="2" s="1"/>
  <c r="G39" i="4" l="1"/>
  <c r="G40" i="4" s="1"/>
  <c r="G48" i="4" s="1"/>
  <c r="I240" i="2"/>
  <c r="J239" i="2" s="1"/>
  <c r="H39" i="4" l="1"/>
  <c r="H40" i="4" s="1"/>
  <c r="H48" i="4" s="1"/>
  <c r="J240" i="2"/>
  <c r="K239" i="2" s="1"/>
  <c r="I39" i="4" l="1"/>
  <c r="I40" i="4" s="1"/>
  <c r="I48" i="4" s="1"/>
  <c r="K240" i="2"/>
  <c r="L239" i="2" s="1"/>
  <c r="J39" i="4" l="1"/>
  <c r="J40" i="4" s="1"/>
  <c r="J48" i="4" s="1"/>
  <c r="L240" i="2"/>
  <c r="M239" i="2" s="1"/>
  <c r="K39" i="4" l="1"/>
  <c r="K40" i="4" s="1"/>
  <c r="K48" i="4" s="1"/>
  <c r="M240" i="2"/>
  <c r="N239" i="2" s="1"/>
  <c r="L39" i="4" l="1"/>
  <c r="L40" i="4" s="1"/>
  <c r="L48" i="4" s="1"/>
  <c r="N240" i="2"/>
  <c r="O239" i="2" s="1"/>
  <c r="M39" i="4" l="1"/>
  <c r="M40" i="4" s="1"/>
  <c r="M48" i="4" s="1"/>
  <c r="O240" i="2"/>
  <c r="P239" i="2" s="1"/>
  <c r="N39" i="4" l="1"/>
  <c r="N40" i="4" s="1"/>
  <c r="N48" i="4" s="1"/>
  <c r="P240" i="2"/>
  <c r="Q239" i="2" s="1"/>
  <c r="O39" i="4" l="1"/>
  <c r="O40" i="4" s="1"/>
  <c r="O48" i="4" s="1"/>
  <c r="Q240" i="2"/>
  <c r="R239" i="2" s="1"/>
  <c r="P39" i="4" l="1"/>
  <c r="P40" i="4" s="1"/>
  <c r="P48" i="4" s="1"/>
  <c r="R240" i="2"/>
  <c r="S239" i="2" s="1"/>
  <c r="Q39" i="4" l="1"/>
  <c r="Q40" i="4" s="1"/>
  <c r="Q48" i="4" s="1"/>
  <c r="S240" i="2"/>
  <c r="T239" i="2" s="1"/>
  <c r="R39" i="4" l="1"/>
  <c r="R40" i="4" s="1"/>
  <c r="R48" i="4" s="1"/>
  <c r="T240" i="2"/>
  <c r="U239" i="2" s="1"/>
  <c r="S39" i="4" l="1"/>
  <c r="S40" i="4" s="1"/>
  <c r="S48" i="4" s="1"/>
  <c r="U240" i="2"/>
  <c r="V239" i="2" s="1"/>
  <c r="T39" i="4" l="1"/>
  <c r="T40" i="4" s="1"/>
  <c r="T48" i="4" s="1"/>
  <c r="V240" i="2"/>
  <c r="W239" i="2" s="1"/>
  <c r="W240" i="2" s="1"/>
  <c r="U39" i="4" l="1"/>
  <c r="U40" i="4" s="1"/>
  <c r="U48" i="4" s="1"/>
  <c r="X239" i="2"/>
  <c r="X240" i="2" s="1"/>
  <c r="V39" i="4" l="1"/>
  <c r="V40" i="4" s="1"/>
  <c r="V48" i="4" s="1"/>
  <c r="Y239" i="2"/>
  <c r="Y240" i="2" s="1"/>
  <c r="W39" i="4" l="1"/>
  <c r="W40" i="4" s="1"/>
  <c r="W48" i="4" s="1"/>
  <c r="Z239" i="2"/>
  <c r="Z240" i="2" s="1"/>
  <c r="AA239" i="2" s="1"/>
  <c r="AA240" i="2" s="1"/>
  <c r="X39" i="4" l="1"/>
  <c r="X40" i="4" s="1"/>
  <c r="X48" i="4" s="1"/>
  <c r="Y39" i="4" l="1"/>
  <c r="Y40" i="4" s="1"/>
  <c r="Y48" i="4" s="1"/>
  <c r="Z39" i="4" l="1"/>
  <c r="Z40" i="4" s="1"/>
  <c r="Z48" i="4" s="1"/>
  <c r="AA39" i="4" l="1"/>
  <c r="AA40" i="4" s="1"/>
  <c r="AA48" i="4" s="1"/>
  <c r="F176" i="6" l="1"/>
  <c r="R186" i="6"/>
  <c r="N186" i="6" l="1"/>
  <c r="L186" i="6"/>
  <c r="O186" i="6"/>
  <c r="J186" i="6"/>
  <c r="AA186" i="6"/>
  <c r="G186" i="6"/>
  <c r="W186" i="6"/>
  <c r="Y186" i="6"/>
  <c r="S186" i="6"/>
  <c r="Z186" i="6"/>
  <c r="X186" i="6"/>
  <c r="K186" i="6"/>
  <c r="C186" i="6"/>
  <c r="M186" i="6"/>
  <c r="D186" i="6"/>
  <c r="T186" i="6"/>
  <c r="E186" i="6"/>
  <c r="V186" i="6"/>
  <c r="H186" i="6"/>
  <c r="U186" i="6"/>
  <c r="F186" i="6"/>
  <c r="F187" i="6" s="1"/>
  <c r="F45" i="5" s="1"/>
  <c r="F46" i="5" s="1"/>
  <c r="Q186" i="6"/>
  <c r="P186" i="6"/>
  <c r="I186" i="6"/>
  <c r="I176" i="6"/>
  <c r="T176" i="6"/>
  <c r="L176" i="6"/>
  <c r="E176" i="6"/>
  <c r="G176" i="6"/>
  <c r="P176" i="6"/>
  <c r="U176" i="6"/>
  <c r="C176" i="6"/>
  <c r="S176" i="6"/>
  <c r="S187" i="6" s="1"/>
  <c r="S45" i="5" s="1"/>
  <c r="S46" i="5" s="1"/>
  <c r="X176" i="6"/>
  <c r="J176" i="6"/>
  <c r="K176" i="6"/>
  <c r="K187" i="6" s="1"/>
  <c r="K45" i="5" s="1"/>
  <c r="K46" i="5" s="1"/>
  <c r="V176" i="6"/>
  <c r="W176" i="6"/>
  <c r="Y176" i="6"/>
  <c r="N176" i="6"/>
  <c r="O176" i="6"/>
  <c r="H176" i="6"/>
  <c r="Q176" i="6"/>
  <c r="D176" i="6"/>
  <c r="R176" i="6"/>
  <c r="R187" i="6" s="1"/>
  <c r="R45" i="5" s="1"/>
  <c r="R46" i="5" s="1"/>
  <c r="AA176" i="6"/>
  <c r="Z176" i="6"/>
  <c r="M176" i="6"/>
  <c r="V187" i="6" l="1"/>
  <c r="V45" i="5" s="1"/>
  <c r="V46" i="5" s="1"/>
  <c r="V63" i="5" s="1"/>
  <c r="Y187" i="6"/>
  <c r="Y45" i="5" s="1"/>
  <c r="Y46" i="5" s="1"/>
  <c r="Y63" i="5" s="1"/>
  <c r="J187" i="6"/>
  <c r="J45" i="5" s="1"/>
  <c r="J46" i="5" s="1"/>
  <c r="J63" i="5" s="1"/>
  <c r="N187" i="6"/>
  <c r="N45" i="5" s="1"/>
  <c r="N46" i="5" s="1"/>
  <c r="N55" i="5" s="1"/>
  <c r="N56" i="5" s="1"/>
  <c r="Z187" i="6"/>
  <c r="Z45" i="5" s="1"/>
  <c r="Z46" i="5" s="1"/>
  <c r="Z55" i="5" s="1"/>
  <c r="Z56" i="5" s="1"/>
  <c r="Q187" i="6"/>
  <c r="Q45" i="5" s="1"/>
  <c r="Q46" i="5" s="1"/>
  <c r="Q63" i="5" s="1"/>
  <c r="L187" i="6"/>
  <c r="L45" i="5" s="1"/>
  <c r="L46" i="5" s="1"/>
  <c r="L63" i="5" s="1"/>
  <c r="M187" i="6"/>
  <c r="M45" i="5" s="1"/>
  <c r="M46" i="5" s="1"/>
  <c r="M55" i="5" s="1"/>
  <c r="M56" i="5" s="1"/>
  <c r="G187" i="6"/>
  <c r="G45" i="5" s="1"/>
  <c r="G46" i="5" s="1"/>
  <c r="G63" i="5" s="1"/>
  <c r="O187" i="6"/>
  <c r="O45" i="5" s="1"/>
  <c r="O46" i="5" s="1"/>
  <c r="O63" i="5" s="1"/>
  <c r="D187" i="6"/>
  <c r="D45" i="5" s="1"/>
  <c r="D46" i="5" s="1"/>
  <c r="D55" i="5" s="1"/>
  <c r="D56" i="5" s="1"/>
  <c r="W187" i="6"/>
  <c r="W45" i="5" s="1"/>
  <c r="W46" i="5" s="1"/>
  <c r="W55" i="5" s="1"/>
  <c r="W56" i="5" s="1"/>
  <c r="X187" i="6"/>
  <c r="X45" i="5" s="1"/>
  <c r="X46" i="5" s="1"/>
  <c r="X63" i="5" s="1"/>
  <c r="H187" i="6"/>
  <c r="H45" i="5" s="1"/>
  <c r="H46" i="5" s="1"/>
  <c r="H63" i="5" s="1"/>
  <c r="P187" i="6"/>
  <c r="P45" i="5" s="1"/>
  <c r="P46" i="5" s="1"/>
  <c r="P63" i="5" s="1"/>
  <c r="AA187" i="6"/>
  <c r="AA45" i="5" s="1"/>
  <c r="AA46" i="5" s="1"/>
  <c r="AA55" i="5" s="1"/>
  <c r="AA56" i="5" s="1"/>
  <c r="T187" i="6"/>
  <c r="T45" i="5" s="1"/>
  <c r="T46" i="5" s="1"/>
  <c r="T63" i="5" s="1"/>
  <c r="U187" i="6"/>
  <c r="U45" i="5" s="1"/>
  <c r="U46" i="5" s="1"/>
  <c r="U63" i="5" s="1"/>
  <c r="C187" i="6"/>
  <c r="C45" i="5" s="1"/>
  <c r="C46" i="5" s="1"/>
  <c r="C63" i="5" s="1"/>
  <c r="E187" i="6"/>
  <c r="E45" i="5" s="1"/>
  <c r="E46" i="5" s="1"/>
  <c r="E55" i="5" s="1"/>
  <c r="E56" i="5" s="1"/>
  <c r="I187" i="6"/>
  <c r="I45" i="5" s="1"/>
  <c r="I46" i="5" s="1"/>
  <c r="I63" i="5" s="1"/>
  <c r="F55" i="5"/>
  <c r="F56" i="5" s="1"/>
  <c r="F63" i="5"/>
  <c r="S63" i="5"/>
  <c r="S55" i="5"/>
  <c r="S56" i="5" s="1"/>
  <c r="R63" i="5"/>
  <c r="R55" i="5"/>
  <c r="R56" i="5" s="1"/>
  <c r="K63" i="5"/>
  <c r="K55" i="5"/>
  <c r="K56" i="5" s="1"/>
  <c r="W63" i="5" l="1"/>
  <c r="V55" i="5"/>
  <c r="V56" i="5" s="1"/>
  <c r="L55" i="5"/>
  <c r="L56" i="5" s="1"/>
  <c r="J55" i="5"/>
  <c r="J56" i="5" s="1"/>
  <c r="Y55" i="5"/>
  <c r="Y56" i="5" s="1"/>
  <c r="Q55" i="5"/>
  <c r="Q56" i="5" s="1"/>
  <c r="D63" i="5"/>
  <c r="N63" i="5"/>
  <c r="M63" i="5"/>
  <c r="AA63" i="5"/>
  <c r="E63" i="5"/>
  <c r="X55" i="5"/>
  <c r="X56" i="5" s="1"/>
  <c r="G55" i="5"/>
  <c r="G56" i="5" s="1"/>
  <c r="Z63" i="5"/>
  <c r="O55" i="5"/>
  <c r="O56" i="5" s="1"/>
  <c r="U55" i="5"/>
  <c r="U56" i="5" s="1"/>
  <c r="H55" i="5"/>
  <c r="H56" i="5" s="1"/>
  <c r="P55" i="5"/>
  <c r="P56" i="5" s="1"/>
  <c r="C55" i="5"/>
  <c r="C56" i="5" s="1"/>
  <c r="T55" i="5"/>
  <c r="T56" i="5" s="1"/>
  <c r="I55" i="5"/>
  <c r="I56" i="5" s="1"/>
  <c r="C64" i="5" l="1"/>
  <c r="C70" i="5" s="1"/>
  <c r="D70" i="5" s="1"/>
  <c r="C59" i="5"/>
  <c r="C58" i="5"/>
  <c r="D58" i="5" s="1"/>
</calcChain>
</file>

<file path=xl/comments1.xml><?xml version="1.0" encoding="utf-8"?>
<comments xmlns="http://schemas.openxmlformats.org/spreadsheetml/2006/main">
  <authors>
    <author>Autor</author>
  </authors>
  <commentList>
    <comment ref="B122" authorId="0">
      <text>
        <r>
          <rPr>
            <b/>
            <sz val="9"/>
            <color indexed="81"/>
            <rFont val="Tahoma"/>
            <family val="2"/>
            <charset val="238"/>
          </rPr>
          <t>W tym wierszu podaj sumę przychodów projektu (wartość lub formuła).
V tomto riadku zadajte výšku príjmov projektu (hodnota alebo vzorec).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Wartości ujemne („-”) oznaczają, że pojawiły się oszczędności.
Negatívne hodnoty (s označením "-") znamenajú úspory.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Wartości ujemne („-”) oznaczają, że pojawiły się oszczędności.
Negatívne hodnoty (s označením "-") znamenajú úspory.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22" authorId="0">
      <text>
        <r>
          <rPr>
            <i/>
            <sz val="9"/>
            <color indexed="81"/>
            <rFont val="Tahoma"/>
            <family val="2"/>
            <charset val="238"/>
          </rPr>
          <t>Marginal Cost of Public Funds</t>
        </r>
        <r>
          <rPr>
            <sz val="9"/>
            <color indexed="81"/>
            <rFont val="Tahoma"/>
            <family val="2"/>
            <charset val="238"/>
          </rPr>
          <t>, Podręcznik CBA 2014, s. 45.
Príručka CBA 2014, s. 45.</t>
        </r>
      </text>
    </comment>
    <comment ref="B27" authorId="0">
      <text>
        <r>
          <rPr>
            <i/>
            <sz val="9"/>
            <color indexed="81"/>
            <rFont val="Tahoma"/>
            <family val="2"/>
            <charset val="238"/>
          </rPr>
          <t>Standard Conversion Facto</t>
        </r>
        <r>
          <rPr>
            <sz val="9"/>
            <color indexed="81"/>
            <rFont val="Tahoma"/>
            <family val="2"/>
            <charset val="238"/>
          </rPr>
          <t>r,  Podręcznik CBA 2014, s. 46.
Príručka CBA 2014, s. 46.</t>
        </r>
      </text>
    </comment>
  </commentList>
</comments>
</file>

<file path=xl/sharedStrings.xml><?xml version="1.0" encoding="utf-8"?>
<sst xmlns="http://schemas.openxmlformats.org/spreadsheetml/2006/main" count="685" uniqueCount="424">
  <si>
    <t xml:space="preserve">1. </t>
  </si>
  <si>
    <t>(…)</t>
  </si>
  <si>
    <t>W arkuszu kalkulacyjnym należy zamieścić obliczenia, które stanowiły podstawę oszacowania popytu oraz cen jednostkowych poszczególnych rodzajów usług, wynajmu i sprzedaży. Metoda oszacowania i analizy tych wartości należy do wnioskodawcy / analityka, który opracowuje studium wykonalności danego projektu.</t>
  </si>
  <si>
    <t>EC</t>
  </si>
  <si>
    <t>DIC</t>
  </si>
  <si>
    <t>DNR</t>
  </si>
  <si>
    <t>R</t>
  </si>
  <si>
    <t>t.j. (EUR):</t>
  </si>
  <si>
    <t>nie</t>
  </si>
  <si>
    <t>FNPV/c</t>
  </si>
  <si>
    <t>CF bazowy</t>
  </si>
  <si>
    <t>∆</t>
  </si>
  <si>
    <t>6.</t>
  </si>
  <si>
    <t>W arkuszu kalkulacyjnym należy zamieścić obliczenia, które stanowiły podstawę oszacowania "wynagrodzeń ukrytych". Metoda oszacowania i analizy tych wartości należy do wnioskodawcy / analityka, który opracowuje studium wykonalności danego projektu.</t>
  </si>
  <si>
    <t>1.</t>
  </si>
  <si>
    <t>2.</t>
  </si>
  <si>
    <t>3.</t>
  </si>
  <si>
    <t>4.</t>
  </si>
  <si>
    <t>5.</t>
  </si>
  <si>
    <t>m.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</si>
  <si>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</si>
  <si>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A</t>
  </si>
  <si>
    <t>B</t>
  </si>
  <si>
    <t>C</t>
  </si>
  <si>
    <r>
      <t>€/m</t>
    </r>
    <r>
      <rPr>
        <vertAlign val="superscript"/>
        <sz val="11"/>
        <rFont val="Calibri"/>
        <family val="2"/>
        <charset val="238"/>
        <scheme val="minor"/>
      </rPr>
      <t>2</t>
    </r>
  </si>
  <si>
    <t xml:space="preserve">W przypadku występowania większej liczby odcinków dróg do analizy wiersze w arkuszu  należy odpowiednio powielić. </t>
  </si>
  <si>
    <t>W arkuszu kalkulacyjnym należy zamieścić obliczenia, które stanowiły podstawę oszacowania wartości poszczególnych kategorii kosztów jednostkowych, a w uzasadnionych przypadkach zmienić częstotliwość remontów. Oszacowanie tych wartości należy do wnioskodawcy / analityka, który opracowuje studium wykonalności danego projektu.</t>
  </si>
  <si>
    <t>-</t>
  </si>
  <si>
    <t>m</t>
  </si>
  <si>
    <t>km</t>
  </si>
  <si>
    <t>7.</t>
  </si>
  <si>
    <t>&lt; 500</t>
  </si>
  <si>
    <t>&gt; 5000</t>
  </si>
  <si>
    <t>8.</t>
  </si>
  <si>
    <t>…</t>
  </si>
  <si>
    <r>
      <t xml:space="preserve">Tytuł projektu 
</t>
    </r>
    <r>
      <rPr>
        <b/>
        <sz val="11"/>
        <color rgb="FFFF0000"/>
        <rFont val="Calibri"/>
        <family val="2"/>
        <charset val="238"/>
        <scheme val="minor"/>
      </rPr>
      <t>Názov projektu:</t>
    </r>
  </si>
  <si>
    <r>
      <t xml:space="preserve">Stopa dyskontowa:
</t>
    </r>
    <r>
      <rPr>
        <sz val="11"/>
        <color rgb="FFFF0000"/>
        <rFont val="Calibri"/>
        <family val="2"/>
        <charset val="238"/>
        <scheme val="minor"/>
      </rPr>
      <t>Diskontná miera:</t>
    </r>
  </si>
  <si>
    <r>
      <t xml:space="preserve">Rok (n+)
</t>
    </r>
    <r>
      <rPr>
        <sz val="11"/>
        <color rgb="FFFF0000"/>
        <rFont val="Calibri"/>
        <family val="2"/>
        <charset val="238"/>
        <scheme val="minor"/>
      </rPr>
      <t>Rok (n+)</t>
    </r>
  </si>
  <si>
    <r>
      <t xml:space="preserve">Współczynnik dyskonta:
</t>
    </r>
    <r>
      <rPr>
        <sz val="11"/>
        <color rgb="FFFF0000"/>
        <rFont val="Calibri"/>
        <family val="2"/>
        <charset val="238"/>
        <scheme val="minor"/>
      </rPr>
      <t>Diskontný faktor:</t>
    </r>
  </si>
  <si>
    <t>tak/áno</t>
  </si>
  <si>
    <r>
      <t xml:space="preserve">1. NAKŁADY INWESTYCYJNE
</t>
    </r>
    <r>
      <rPr>
        <b/>
        <u/>
        <sz val="11"/>
        <color rgb="FFFF0000"/>
        <rFont val="Calibri"/>
        <family val="2"/>
        <charset val="238"/>
        <scheme val="minor"/>
      </rPr>
      <t>1. INVESTIČNÉ NÁKLADY PROJEKTU</t>
    </r>
  </si>
  <si>
    <r>
      <t xml:space="preserve">Wydatki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</si>
  <si>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r>
      <t xml:space="preserve">RAZEM (wydatki kwalifikowane):
</t>
    </r>
    <r>
      <rPr>
        <b/>
        <sz val="11"/>
        <color rgb="FFFF0000"/>
        <rFont val="Calibri"/>
        <family val="2"/>
        <charset val="238"/>
        <scheme val="minor"/>
      </rPr>
      <t>SPOLU (oprávnené výdavky):</t>
    </r>
  </si>
  <si>
    <r>
      <t xml:space="preserve">RAZEM:
</t>
    </r>
    <r>
      <rPr>
        <sz val="11"/>
        <color rgb="FFFF0000"/>
        <rFont val="Calibri"/>
        <family val="2"/>
        <charset val="238"/>
        <scheme val="minor"/>
      </rPr>
      <t>SPOLU:</t>
    </r>
  </si>
  <si>
    <r>
      <t xml:space="preserve">Wydatki niekwalifikowane:
</t>
    </r>
    <r>
      <rPr>
        <sz val="11"/>
        <color rgb="FFFF0000"/>
        <rFont val="Calibri"/>
        <family val="2"/>
        <charset val="238"/>
        <scheme val="minor"/>
      </rPr>
      <t>Neoprávnené výdavky:</t>
    </r>
  </si>
  <si>
    <r>
      <t xml:space="preserve">RAZEM (wydatki niekwalifikowane):
</t>
    </r>
    <r>
      <rPr>
        <b/>
        <sz val="11"/>
        <color rgb="FFFF0000"/>
        <rFont val="Calibri"/>
        <family val="2"/>
        <charset val="238"/>
        <scheme val="minor"/>
      </rPr>
      <t>SPOLU (neoprávnené výdavky):</t>
    </r>
  </si>
  <si>
    <r>
      <t xml:space="preserve">RAZEM (wydatki całkowite):
</t>
    </r>
    <r>
      <rPr>
        <b/>
        <sz val="11"/>
        <color rgb="FFFF0000"/>
        <rFont val="Calibri"/>
        <family val="2"/>
        <charset val="238"/>
        <scheme val="minor"/>
      </rPr>
      <t>SPOLU (Celkové výdavky):</t>
    </r>
  </si>
  <si>
    <r>
      <t xml:space="preserve">w tym VAT:
</t>
    </r>
    <r>
      <rPr>
        <sz val="11"/>
        <color rgb="FFFF0000"/>
        <rFont val="Calibri"/>
        <family val="2"/>
        <charset val="238"/>
        <scheme val="minor"/>
      </rPr>
      <t>vrátane DPH:</t>
    </r>
  </si>
  <si>
    <r>
      <t xml:space="preserve">Finansowanie:
</t>
    </r>
    <r>
      <rPr>
        <b/>
        <sz val="11"/>
        <color rgb="FFFF0000"/>
        <rFont val="Calibri"/>
        <family val="2"/>
        <charset val="238"/>
        <scheme val="minor"/>
      </rPr>
      <t>Financovanie:</t>
    </r>
  </si>
  <si>
    <r>
      <t xml:space="preserve">Rok:
</t>
    </r>
    <r>
      <rPr>
        <sz val="11"/>
        <color rgb="FFFF0000"/>
        <rFont val="Calibri"/>
        <family val="2"/>
        <charset val="238"/>
        <scheme val="minor"/>
      </rPr>
      <t>Rok:</t>
    </r>
  </si>
  <si>
    <r>
      <t xml:space="preserve">Wkład własny partnerów:
</t>
    </r>
    <r>
      <rPr>
        <sz val="11"/>
        <color rgb="FFFF0000"/>
        <rFont val="Calibri"/>
        <family val="2"/>
        <charset val="238"/>
        <scheme val="minor"/>
      </rPr>
      <t>Vlastné prostriedky partnerov:</t>
    </r>
  </si>
  <si>
    <r>
      <t xml:space="preserve">Dofinansowanie, zgodnie z wyliczeniem luki w finansowaniu może wynosić max.:
</t>
    </r>
    <r>
      <rPr>
        <sz val="11"/>
        <color rgb="FFFF0000"/>
        <rFont val="Calibri"/>
        <family val="2"/>
        <charset val="238"/>
        <scheme val="minor"/>
      </rPr>
      <t>Financovanie v súlade s výpočtom medzery vo financovaní môže byť max.:</t>
    </r>
  </si>
  <si>
    <r>
      <t xml:space="preserve">2. WARTOŚĆ REZYDUALNA
</t>
    </r>
    <r>
      <rPr>
        <b/>
        <u/>
        <sz val="11"/>
        <color rgb="FFFF0000"/>
        <rFont val="Calibri"/>
        <family val="2"/>
        <charset val="238"/>
        <scheme val="minor"/>
      </rPr>
      <t>ZOSTATKOVÁ HODNOTA</t>
    </r>
  </si>
  <si>
    <r>
      <t xml:space="preserve">Obliczenia:
</t>
    </r>
    <r>
      <rPr>
        <sz val="11"/>
        <color rgb="FFFF0000"/>
        <rFont val="Calibri"/>
        <family val="2"/>
        <charset val="238"/>
        <scheme val="minor"/>
      </rPr>
      <t>Výpočty:</t>
    </r>
  </si>
  <si>
    <r>
      <t xml:space="preserve">Roczna amortyzacja:
</t>
    </r>
    <r>
      <rPr>
        <sz val="11"/>
        <color rgb="FFFF0000"/>
        <rFont val="Calibri"/>
        <family val="2"/>
        <charset val="238"/>
        <scheme val="minor"/>
      </rPr>
      <t>Ročné odpisy:</t>
    </r>
  </si>
  <si>
    <r>
      <t xml:space="preserve">Wartość środka trwałego 1 na koniec roku:
</t>
    </r>
    <r>
      <rPr>
        <sz val="11"/>
        <color rgb="FFFF0000"/>
        <rFont val="Calibri"/>
        <family val="2"/>
        <charset val="238"/>
        <scheme val="minor"/>
      </rPr>
      <t>Hodnota dlhodobého majetku 1 na konci roka:</t>
    </r>
  </si>
  <si>
    <r>
      <t xml:space="preserve">Wartość końcowa środka 1:
</t>
    </r>
    <r>
      <rPr>
        <b/>
        <sz val="11"/>
        <color rgb="FFFF0000"/>
        <rFont val="Calibri"/>
        <family val="2"/>
        <charset val="238"/>
        <scheme val="minor"/>
      </rPr>
      <t>Konečná hodnota majetku 1:</t>
    </r>
  </si>
  <si>
    <r>
      <t xml:space="preserve">Wartość środka trwałego 2 na koniec roku:
</t>
    </r>
    <r>
      <rPr>
        <sz val="11"/>
        <color rgb="FFFF0000"/>
        <rFont val="Calibri"/>
        <family val="2"/>
        <charset val="238"/>
        <scheme val="minor"/>
      </rPr>
      <t>Hodnota dlhodobého majetku 2 na konci roka:</t>
    </r>
  </si>
  <si>
    <r>
      <t xml:space="preserve">Wartość końcowa środka 2:
</t>
    </r>
    <r>
      <rPr>
        <b/>
        <sz val="11"/>
        <color rgb="FFFF0000"/>
        <rFont val="Calibri"/>
        <family val="2"/>
        <charset val="238"/>
        <scheme val="minor"/>
      </rPr>
      <t>Konečná hodnota majetku 2:</t>
    </r>
  </si>
  <si>
    <r>
      <t xml:space="preserve">Wartość środka trwałego 3 na koniec roku:
</t>
    </r>
    <r>
      <rPr>
        <sz val="11"/>
        <color rgb="FFFF0000"/>
        <rFont val="Calibri"/>
        <family val="2"/>
        <charset val="238"/>
        <scheme val="minor"/>
      </rPr>
      <t>Hodnota dlhodobého majetku 3 na konci roka:</t>
    </r>
  </si>
  <si>
    <r>
      <t xml:space="preserve">Wartość końcowa środka 3:
</t>
    </r>
    <r>
      <rPr>
        <b/>
        <sz val="11"/>
        <color rgb="FFFF0000"/>
        <rFont val="Calibri"/>
        <family val="2"/>
        <charset val="238"/>
        <scheme val="minor"/>
      </rPr>
      <t>Konečná hodnota majetku 3:</t>
    </r>
  </si>
  <si>
    <t>Wiersze w arkuszu  należy odpowiednio powielić, jeśli potrzeba.</t>
  </si>
  <si>
    <t>Kalkulacja zużycia środków trwałych służy ustaleniu przewidywanego okresu ich przydatności. Amortyzacja nie jest uwzględniana przy wyliczaniu wskaźników dyskontowych.</t>
  </si>
  <si>
    <r>
      <t xml:space="preserve">Wartość końcowa środków trwałych:
</t>
    </r>
    <r>
      <rPr>
        <b/>
        <sz val="11"/>
        <color rgb="FFFF0000"/>
        <rFont val="Calibri"/>
        <family val="2"/>
        <charset val="238"/>
        <scheme val="minor"/>
      </rPr>
      <t>Zostatková hodnota dlhodobého majetku:</t>
    </r>
  </si>
  <si>
    <r>
      <t xml:space="preserve">Wartość rezydualna (nominalna):
</t>
    </r>
    <r>
      <rPr>
        <b/>
        <sz val="11"/>
        <color rgb="FFFF0000"/>
        <rFont val="Calibri"/>
        <family val="2"/>
        <charset val="238"/>
        <scheme val="minor"/>
      </rPr>
      <t>Zostatková hodnota (nominálna):</t>
    </r>
  </si>
  <si>
    <r>
      <t xml:space="preserve">3. PRZYCHODY
</t>
    </r>
    <r>
      <rPr>
        <b/>
        <u/>
        <sz val="11"/>
        <color rgb="FFFF0000"/>
        <rFont val="Calibri"/>
        <family val="2"/>
        <charset val="238"/>
        <scheme val="minor"/>
      </rPr>
      <t>3. PRÍJMY</t>
    </r>
  </si>
  <si>
    <r>
      <t xml:space="preserve">Popyt (liczba jednostek):
</t>
    </r>
    <r>
      <rPr>
        <i/>
        <sz val="10"/>
        <color rgb="FFFF0000"/>
        <rFont val="Calibri"/>
        <family val="2"/>
        <charset val="238"/>
        <scheme val="minor"/>
      </rPr>
      <t>Dopyt (počet jednotiek):</t>
    </r>
  </si>
  <si>
    <r>
      <t xml:space="preserve">Cena jednostkowa usługi, biletu:
</t>
    </r>
    <r>
      <rPr>
        <i/>
        <sz val="10"/>
        <color rgb="FFFF0000"/>
        <rFont val="Calibri"/>
        <family val="2"/>
        <charset val="238"/>
        <scheme val="minor"/>
      </rPr>
      <t>Jednotková cena za služby, lístky:</t>
    </r>
  </si>
  <si>
    <r>
      <t xml:space="preserve">Cena jednostkowa:
</t>
    </r>
    <r>
      <rPr>
        <i/>
        <sz val="10"/>
        <color rgb="FFFF0000"/>
        <rFont val="Calibri"/>
        <family val="2"/>
        <charset val="238"/>
        <scheme val="minor"/>
      </rPr>
      <t>Jednotková cena:</t>
    </r>
  </si>
  <si>
    <r>
      <t xml:space="preserve">Przychód z wynajmu:
</t>
    </r>
    <r>
      <rPr>
        <b/>
        <sz val="11"/>
        <color rgb="FFFF0000"/>
        <rFont val="Calibri"/>
        <family val="2"/>
        <charset val="238"/>
        <scheme val="minor"/>
      </rPr>
      <t>Príjmy z prenájmu:</t>
    </r>
  </si>
  <si>
    <r>
      <t xml:space="preserve">Przychody z tytułu ….
</t>
    </r>
    <r>
      <rPr>
        <sz val="11"/>
        <color rgb="FFFF0000"/>
        <rFont val="Calibri"/>
        <family val="2"/>
        <charset val="238"/>
        <scheme val="minor"/>
      </rPr>
      <t>Príjmy z ....</t>
    </r>
  </si>
  <si>
    <r>
      <t xml:space="preserve">Przychód z ….:
</t>
    </r>
    <r>
      <rPr>
        <b/>
        <sz val="11"/>
        <color rgb="FFFF0000"/>
        <rFont val="Calibri"/>
        <family val="2"/>
        <charset val="238"/>
        <scheme val="minor"/>
      </rPr>
      <t>Príjmy z ....:</t>
    </r>
  </si>
  <si>
    <r>
      <t xml:space="preserve">Razem przychody:
</t>
    </r>
    <r>
      <rPr>
        <b/>
        <sz val="11"/>
        <color rgb="FFFF0000"/>
        <rFont val="Calibri"/>
        <family val="2"/>
        <charset val="238"/>
        <scheme val="minor"/>
      </rPr>
      <t>Celkové príjmy:</t>
    </r>
  </si>
  <si>
    <r>
      <t xml:space="preserve">Usługa 1: (np. opłata za przejazd)...
</t>
    </r>
    <r>
      <rPr>
        <sz val="11"/>
        <color rgb="FFFF0000"/>
        <rFont val="Calibri"/>
        <family val="2"/>
        <charset val="238"/>
        <scheme val="minor"/>
      </rPr>
      <t>Služba 1: (napr. cestovné)...</t>
    </r>
  </si>
  <si>
    <r>
      <t xml:space="preserve">Usługa 2: (np. opłata za parkowanie)…
</t>
    </r>
    <r>
      <rPr>
        <sz val="11"/>
        <color rgb="FFFF0000"/>
        <rFont val="Calibri"/>
        <family val="2"/>
        <charset val="238"/>
        <scheme val="minor"/>
      </rPr>
      <t>Služba 2: (napr. poplatok za parkovanie)...</t>
    </r>
  </si>
  <si>
    <r>
      <t xml:space="preserve">Usługa 3: (np. nośniki reklamowe) …
</t>
    </r>
    <r>
      <rPr>
        <sz val="11"/>
        <color rgb="FFFF0000"/>
        <rFont val="Calibri"/>
        <family val="2"/>
        <charset val="238"/>
        <scheme val="minor"/>
      </rPr>
      <t>Služba 3: (napr. reklamné médiá)...</t>
    </r>
  </si>
  <si>
    <r>
      <t xml:space="preserve">4. KOSZTY OPERACYJNE
</t>
    </r>
    <r>
      <rPr>
        <b/>
        <u/>
        <sz val="11"/>
        <color rgb="FFFF0000"/>
        <rFont val="Calibri"/>
        <family val="2"/>
        <charset val="238"/>
        <scheme val="minor"/>
      </rPr>
      <t>4. PREVÁDZKOVÉ NÁKLADY</t>
    </r>
  </si>
  <si>
    <r>
      <t xml:space="preserve">Parametry techniczne - stan obecny (0):
</t>
    </r>
    <r>
      <rPr>
        <sz val="11"/>
        <color rgb="FFFF0000"/>
        <rFont val="Calibri"/>
        <family val="2"/>
        <charset val="238"/>
        <scheme val="minor"/>
      </rPr>
      <t>Technické parametre - súčasná situácia (0):</t>
    </r>
  </si>
  <si>
    <r>
      <t xml:space="preserve">Długość odcinka:
</t>
    </r>
    <r>
      <rPr>
        <sz val="11"/>
        <color rgb="FFFF0000"/>
        <rFont val="Calibri"/>
        <family val="2"/>
        <charset val="238"/>
        <scheme val="minor"/>
      </rPr>
      <t>Dĺžka úseku:</t>
    </r>
  </si>
  <si>
    <r>
      <t xml:space="preserve">Średnia szerokość:
</t>
    </r>
    <r>
      <rPr>
        <sz val="11"/>
        <color rgb="FFFF0000"/>
        <rFont val="Calibri"/>
        <family val="2"/>
        <charset val="238"/>
        <scheme val="minor"/>
      </rPr>
      <t>Priemerná šírka vozovky:</t>
    </r>
  </si>
  <si>
    <r>
      <t xml:space="preserve">Powierzchnia nawierzchni:
</t>
    </r>
    <r>
      <rPr>
        <sz val="11"/>
        <color rgb="FFFF0000"/>
        <rFont val="Calibri"/>
        <family val="2"/>
        <charset val="238"/>
        <scheme val="minor"/>
      </rPr>
      <t>Celková rozloha povrchu:</t>
    </r>
  </si>
  <si>
    <r>
      <t xml:space="preserve">Stan techniczny:
</t>
    </r>
    <r>
      <rPr>
        <sz val="11"/>
        <color rgb="FFFF0000"/>
        <rFont val="Calibri"/>
        <family val="2"/>
        <charset val="238"/>
        <scheme val="minor"/>
      </rPr>
      <t>Technický stav cesty:</t>
    </r>
  </si>
  <si>
    <r>
      <t xml:space="preserve">- remonty cząstkowe
</t>
    </r>
    <r>
      <rPr>
        <sz val="11"/>
        <color rgb="FFFF0000"/>
        <rFont val="Calibri"/>
        <family val="2"/>
        <charset val="238"/>
        <scheme val="minor"/>
      </rPr>
      <t>- čiastkové opravy</t>
    </r>
  </si>
  <si>
    <r>
      <t xml:space="preserve">- remonty okresowe
</t>
    </r>
    <r>
      <rPr>
        <sz val="11"/>
        <color rgb="FFFF0000"/>
        <rFont val="Calibri"/>
        <family val="2"/>
        <charset val="238"/>
        <scheme val="minor"/>
      </rPr>
      <t>- pravidelné opravy</t>
    </r>
  </si>
  <si>
    <r>
      <t xml:space="preserve">- utrzymanie bieżące
</t>
    </r>
    <r>
      <rPr>
        <sz val="11"/>
        <color rgb="FFFF0000"/>
        <rFont val="Calibri"/>
        <family val="2"/>
        <charset val="238"/>
        <scheme val="minor"/>
      </rPr>
      <t>- bežná údržba</t>
    </r>
  </si>
  <si>
    <r>
      <t xml:space="preserve">Stan techniczny A:
</t>
    </r>
    <r>
      <rPr>
        <sz val="11"/>
        <color rgb="FFFF0000"/>
        <rFont val="Calibri"/>
        <family val="2"/>
        <charset val="238"/>
        <scheme val="minor"/>
      </rPr>
      <t>Stav technický A:</t>
    </r>
  </si>
  <si>
    <r>
      <t xml:space="preserve">Kategoria:
</t>
    </r>
    <r>
      <rPr>
        <sz val="11"/>
        <color rgb="FFFF0000"/>
        <rFont val="Calibri"/>
        <family val="2"/>
        <charset val="238"/>
        <scheme val="minor"/>
      </rPr>
      <t>Kategórie:</t>
    </r>
  </si>
  <si>
    <r>
      <t xml:space="preserve">- wynagrodzenia
</t>
    </r>
    <r>
      <rPr>
        <sz val="11"/>
        <color rgb="FFFF0000"/>
        <rFont val="Calibri"/>
        <family val="2"/>
        <charset val="238"/>
        <scheme val="minor"/>
      </rPr>
      <t>- personálne náklady</t>
    </r>
  </si>
  <si>
    <r>
      <t xml:space="preserve">- usługi
</t>
    </r>
    <r>
      <rPr>
        <sz val="11"/>
        <color rgb="FFFF0000"/>
        <rFont val="Calibri"/>
        <family val="2"/>
        <charset val="238"/>
        <scheme val="minor"/>
      </rPr>
      <t>- služby</t>
    </r>
  </si>
  <si>
    <r>
      <t xml:space="preserve">- opłaty i ubezpieczenia
</t>
    </r>
    <r>
      <rPr>
        <sz val="11"/>
        <color rgb="FFFF0000"/>
        <rFont val="Calibri"/>
        <family val="2"/>
        <charset val="238"/>
        <scheme val="minor"/>
      </rPr>
      <t>- náklady na poistenie a poplatky</t>
    </r>
  </si>
  <si>
    <r>
      <t xml:space="preserve">- inne koszty
</t>
    </r>
    <r>
      <rPr>
        <sz val="11"/>
        <color rgb="FFFF0000"/>
        <rFont val="Calibri"/>
        <family val="2"/>
        <charset val="238"/>
        <scheme val="minor"/>
      </rPr>
      <t>- ostatné náklady</t>
    </r>
  </si>
  <si>
    <r>
      <t xml:space="preserve">Razem (wartość zdyskontowana):
</t>
    </r>
    <r>
      <rPr>
        <b/>
        <sz val="11"/>
        <color rgb="FFFF0000"/>
        <rFont val="Calibri"/>
        <family val="2"/>
        <charset val="238"/>
        <scheme val="minor"/>
      </rPr>
      <t>Spolu (diskontovaná hodnota):</t>
    </r>
  </si>
  <si>
    <r>
      <t xml:space="preserve">5. UPROSZCZONY RACHUNEK PRZEPŁYWÓW PIENIĘŻNYCH
</t>
    </r>
    <r>
      <rPr>
        <b/>
        <u/>
        <sz val="11"/>
        <color rgb="FFFF0000"/>
        <rFont val="Calibri"/>
        <family val="2"/>
        <charset val="238"/>
        <scheme val="minor"/>
      </rPr>
      <t>5. ZJEDNODUŠENÝ VÝKAZ PEŇAŽNÝCH TOKOV</t>
    </r>
  </si>
  <si>
    <r>
      <t xml:space="preserve">Część operacyjna:
</t>
    </r>
    <r>
      <rPr>
        <b/>
        <sz val="11"/>
        <color rgb="FFFF0000"/>
        <rFont val="Calibri"/>
        <family val="2"/>
        <charset val="238"/>
        <scheme val="minor"/>
      </rPr>
      <t>Prevádzková časť:</t>
    </r>
  </si>
  <si>
    <r>
      <t xml:space="preserve">Przychody operacyjne:
</t>
    </r>
    <r>
      <rPr>
        <sz val="11"/>
        <color rgb="FFFF0000"/>
        <rFont val="Calibri"/>
        <family val="2"/>
        <charset val="238"/>
        <scheme val="minor"/>
      </rPr>
      <t>Prevádzkové príjmy:</t>
    </r>
  </si>
  <si>
    <r>
      <t xml:space="preserve">Koszty operacyjne:
</t>
    </r>
    <r>
      <rPr>
        <sz val="11"/>
        <color rgb="FFFF0000"/>
        <rFont val="Calibri"/>
        <family val="2"/>
        <charset val="238"/>
        <scheme val="minor"/>
      </rPr>
      <t>Prevádzkové náklady:</t>
    </r>
  </si>
  <si>
    <r>
      <t xml:space="preserve">Razem przepływy operacyjne:
</t>
    </r>
    <r>
      <rPr>
        <b/>
        <sz val="11"/>
        <color rgb="FFFF0000"/>
        <rFont val="Calibri"/>
        <family val="2"/>
        <charset val="238"/>
        <scheme val="minor"/>
      </rPr>
      <t>Celkové prevádzkové peňažné toky:</t>
    </r>
  </si>
  <si>
    <r>
      <t xml:space="preserve">Zwrot VAT:
</t>
    </r>
    <r>
      <rPr>
        <sz val="11"/>
        <color rgb="FFFF0000"/>
        <rFont val="Calibri"/>
        <family val="2"/>
        <charset val="238"/>
        <scheme val="minor"/>
      </rPr>
      <t>Vrátenie DPH:</t>
    </r>
  </si>
  <si>
    <r>
      <t xml:space="preserve">Razem przepływy inwestycyjne:
</t>
    </r>
    <r>
      <rPr>
        <b/>
        <sz val="11"/>
        <color rgb="FFFF0000"/>
        <rFont val="Calibri"/>
        <family val="2"/>
        <charset val="238"/>
        <scheme val="minor"/>
      </rPr>
      <t>Celkové investičné toky:</t>
    </r>
  </si>
  <si>
    <r>
      <t xml:space="preserve">Część finansowa:
</t>
    </r>
    <r>
      <rPr>
        <b/>
        <sz val="11"/>
        <color rgb="FFFF0000"/>
        <rFont val="Calibri"/>
        <family val="2"/>
        <charset val="238"/>
        <scheme val="minor"/>
      </rPr>
      <t>Finančná časť:</t>
    </r>
  </si>
  <si>
    <r>
      <t xml:space="preserve">Wkład własny:
</t>
    </r>
    <r>
      <rPr>
        <sz val="11"/>
        <color rgb="FFFF0000"/>
        <rFont val="Calibri"/>
        <family val="2"/>
        <charset val="238"/>
        <scheme val="minor"/>
      </rPr>
      <t>Vlastný vklad:</t>
    </r>
  </si>
  <si>
    <r>
      <t xml:space="preserve">Spłata kredytu i odsetek:
</t>
    </r>
    <r>
      <rPr>
        <sz val="11"/>
        <color rgb="FFFF0000"/>
        <rFont val="Calibri"/>
        <family val="2"/>
        <charset val="238"/>
        <scheme val="minor"/>
      </rPr>
      <t>Splácanie úveru a úrokov:</t>
    </r>
  </si>
  <si>
    <r>
      <t xml:space="preserve">Środki na funkcjonowanie projektu:
</t>
    </r>
    <r>
      <rPr>
        <sz val="11"/>
        <color rgb="FFFF0000"/>
        <rFont val="Calibri"/>
        <family val="2"/>
        <charset val="238"/>
        <scheme val="minor"/>
      </rPr>
      <t>Prostriedky na prevádzku projektu:</t>
    </r>
  </si>
  <si>
    <r>
      <t xml:space="preserve">- inne
</t>
    </r>
    <r>
      <rPr>
        <i/>
        <sz val="11"/>
        <color rgb="FFFF0000"/>
        <rFont val="Calibri"/>
        <family val="2"/>
        <charset val="238"/>
        <scheme val="minor"/>
      </rPr>
      <t>- ďalšie</t>
    </r>
  </si>
  <si>
    <r>
      <t xml:space="preserve">1. Obliczenie luki w finansowaniu i poziomu dofinansowania
</t>
    </r>
    <r>
      <rPr>
        <b/>
        <u/>
        <sz val="11"/>
        <color rgb="FFFF0000"/>
        <rFont val="Calibri"/>
        <family val="2"/>
        <charset val="238"/>
        <scheme val="minor"/>
      </rPr>
      <t>1. Výpočet finančnej medzery a miery dofinancovania</t>
    </r>
  </si>
  <si>
    <r>
      <t xml:space="preserve">Koszty kwalifikowane:
</t>
    </r>
    <r>
      <rPr>
        <sz val="11"/>
        <color rgb="FFFF0000"/>
        <rFont val="Calibri"/>
        <family val="2"/>
        <charset val="238"/>
        <scheme val="minor"/>
      </rPr>
      <t>Oprávnené výdavky:</t>
    </r>
  </si>
  <si>
    <t>"Decision amount"; DA = EC * R</t>
  </si>
  <si>
    <r>
      <t xml:space="preserve">lat.
</t>
    </r>
    <r>
      <rPr>
        <sz val="11"/>
        <color rgb="FFFF0000"/>
        <rFont val="Calibri"/>
        <family val="2"/>
        <charset val="238"/>
        <scheme val="minor"/>
      </rPr>
      <t>rokov.</t>
    </r>
  </si>
  <si>
    <r>
      <t xml:space="preserve">2. Obliczenie FNPV/C:
</t>
    </r>
    <r>
      <rPr>
        <b/>
        <u/>
        <sz val="11"/>
        <color rgb="FFFF0000"/>
        <rFont val="Calibri"/>
        <family val="2"/>
        <charset val="238"/>
        <scheme val="minor"/>
      </rPr>
      <t>2. Kalkulácie FNPV/C:</t>
    </r>
  </si>
  <si>
    <r>
      <t xml:space="preserve">Wartość rezydualna:
</t>
    </r>
    <r>
      <rPr>
        <sz val="11"/>
        <color rgb="FFFF0000"/>
        <rFont val="Calibri"/>
        <family val="2"/>
        <charset val="238"/>
        <scheme val="minor"/>
      </rPr>
      <t>Zostatková hodnota:</t>
    </r>
  </si>
  <si>
    <r>
      <t xml:space="preserve">Przepływy razem:
</t>
    </r>
    <r>
      <rPr>
        <sz val="11"/>
        <color rgb="FFFF0000"/>
        <rFont val="Calibri"/>
        <family val="2"/>
        <charset val="238"/>
        <scheme val="minor"/>
      </rPr>
      <t>Celkové peňažné toky:</t>
    </r>
  </si>
  <si>
    <r>
      <t xml:space="preserve">4. Obliczenie FNPV/K:
</t>
    </r>
    <r>
      <rPr>
        <b/>
        <u/>
        <sz val="11"/>
        <color rgb="FFFF0000"/>
        <rFont val="Calibri"/>
        <family val="2"/>
        <charset val="238"/>
        <scheme val="minor"/>
      </rPr>
      <t>4. Kalkulácie FNPV/K:</t>
    </r>
  </si>
  <si>
    <r>
      <t xml:space="preserve">Kredyty i odsetki:
</t>
    </r>
    <r>
      <rPr>
        <sz val="11"/>
        <color rgb="FFFF0000"/>
        <rFont val="Calibri"/>
        <family val="2"/>
        <charset val="238"/>
        <scheme val="minor"/>
      </rPr>
      <t>Úvery a úroky:</t>
    </r>
  </si>
  <si>
    <r>
      <t xml:space="preserve">5. ANALIZA WRAŻLIWOŚCI
</t>
    </r>
    <r>
      <rPr>
        <b/>
        <sz val="11"/>
        <color rgb="FFFF0000"/>
        <rFont val="Calibri"/>
        <family val="2"/>
        <charset val="238"/>
        <scheme val="minor"/>
      </rPr>
      <t>5. ANALÝZA CITLIVOSTI</t>
    </r>
  </si>
  <si>
    <r>
      <t xml:space="preserve">Zmiana
</t>
    </r>
    <r>
      <rPr>
        <sz val="11"/>
        <color rgb="FFFF0000"/>
        <rFont val="Calibri"/>
        <family val="2"/>
        <charset val="238"/>
        <scheme val="minor"/>
      </rPr>
      <t>Zmena</t>
    </r>
  </si>
  <si>
    <r>
      <t xml:space="preserve">kosztów operacyjnych:
</t>
    </r>
    <r>
      <rPr>
        <sz val="11"/>
        <color rgb="FFFF0000"/>
        <rFont val="Calibri"/>
        <family val="2"/>
        <charset val="238"/>
        <scheme val="minor"/>
      </rPr>
      <t>prevádzkových nákladov:</t>
    </r>
  </si>
  <si>
    <r>
      <t xml:space="preserve">(+/- wartość bazowa)
</t>
    </r>
    <r>
      <rPr>
        <sz val="11"/>
        <color rgb="FFFF0000"/>
        <rFont val="Calibri"/>
        <family val="2"/>
        <charset val="238"/>
        <scheme val="minor"/>
      </rPr>
      <t>(+/- východisková hodnota)</t>
    </r>
  </si>
  <si>
    <r>
      <t xml:space="preserve">Zmiana:
</t>
    </r>
    <r>
      <rPr>
        <sz val="11"/>
        <color rgb="FFFF0000"/>
        <rFont val="Calibri"/>
        <family val="2"/>
        <charset val="238"/>
        <scheme val="minor"/>
      </rPr>
      <t>Zmena:</t>
    </r>
  </si>
  <si>
    <r>
      <t xml:space="preserve">wartość bazowa
</t>
    </r>
    <r>
      <rPr>
        <sz val="11"/>
        <color rgb="FFFF0000"/>
        <rFont val="Calibri"/>
        <family val="2"/>
        <charset val="238"/>
        <scheme val="minor"/>
      </rPr>
      <t>východisková hodnota</t>
    </r>
  </si>
  <si>
    <r>
      <t xml:space="preserve">wzrost kosztów
</t>
    </r>
    <r>
      <rPr>
        <sz val="11"/>
        <color rgb="FFFF0000"/>
        <rFont val="Calibri"/>
        <family val="2"/>
        <charset val="238"/>
        <scheme val="minor"/>
      </rPr>
      <t>nárast prevádzkových nákladov</t>
    </r>
  </si>
  <si>
    <r>
      <t xml:space="preserve">spadek kosztów
</t>
    </r>
    <r>
      <rPr>
        <sz val="11"/>
        <color rgb="FFFF0000"/>
        <rFont val="Calibri"/>
        <family val="2"/>
        <charset val="238"/>
        <scheme val="minor"/>
      </rPr>
      <t>pokles prevádzkových nákladov</t>
    </r>
  </si>
  <si>
    <r>
      <t xml:space="preserve">5.3. Wrażliwość na zmianę kosztów operacyjnych
</t>
    </r>
    <r>
      <rPr>
        <sz val="11"/>
        <color rgb="FFFF0000"/>
        <rFont val="Calibri"/>
        <family val="2"/>
        <charset val="238"/>
        <scheme val="minor"/>
      </rPr>
      <t>5.3. Citlivosť na zmenu prevádzkových nákladov</t>
    </r>
  </si>
  <si>
    <r>
      <t xml:space="preserve">ANALIZY RUCHU
</t>
    </r>
    <r>
      <rPr>
        <b/>
        <sz val="11"/>
        <color rgb="FFFF0000"/>
        <rFont val="Calibri"/>
        <family val="2"/>
        <charset val="238"/>
        <scheme val="minor"/>
      </rPr>
      <t>ANALÝZA CESTNEJ PREMÁVKY</t>
    </r>
  </si>
  <si>
    <r>
      <t xml:space="preserve">Rodzaj pojazdów
</t>
    </r>
    <r>
      <rPr>
        <sz val="11"/>
        <color rgb="FFFF0000"/>
        <rFont val="Calibri"/>
        <family val="2"/>
        <charset val="238"/>
        <scheme val="minor"/>
      </rPr>
      <t>Typ vozidla</t>
    </r>
  </si>
  <si>
    <r>
      <t xml:space="preserve">Roczna zmiana SDR
</t>
    </r>
    <r>
      <rPr>
        <sz val="11"/>
        <color rgb="FFFF0000"/>
        <rFont val="Calibri"/>
        <family val="2"/>
        <charset val="238"/>
        <scheme val="minor"/>
      </rPr>
      <t>Medziročná zmena PDIP</t>
    </r>
  </si>
  <si>
    <r>
      <t xml:space="preserve">Samochody osobowe
</t>
    </r>
    <r>
      <rPr>
        <sz val="11"/>
        <color rgb="FFFF0000"/>
        <rFont val="Calibri"/>
        <family val="2"/>
        <charset val="238"/>
        <scheme val="minor"/>
      </rPr>
      <t>Osobné vozidlá</t>
    </r>
  </si>
  <si>
    <r>
      <t xml:space="preserve">Samochody dostawcze
</t>
    </r>
    <r>
      <rPr>
        <sz val="11"/>
        <color rgb="FFFF0000"/>
        <rFont val="Calibri"/>
        <family val="2"/>
        <charset val="238"/>
        <scheme val="minor"/>
      </rPr>
      <t>Dodávkové vozidlá</t>
    </r>
  </si>
  <si>
    <r>
      <t xml:space="preserve">Samochody ciężarowe bez przyczep
</t>
    </r>
    <r>
      <rPr>
        <sz val="11"/>
        <color rgb="FFFF0000"/>
        <rFont val="Calibri"/>
        <family val="2"/>
        <charset val="238"/>
        <scheme val="minor"/>
      </rPr>
      <t>Nákladné vozidlá bez prívesov</t>
    </r>
  </si>
  <si>
    <r>
      <t xml:space="preserve">Samochody ciężarowe z przyczepami
</t>
    </r>
    <r>
      <rPr>
        <sz val="11"/>
        <color rgb="FFFF0000"/>
        <rFont val="Calibri"/>
        <family val="2"/>
        <charset val="238"/>
        <scheme val="minor"/>
      </rPr>
      <t>Nákladné vozidlá s prívesom</t>
    </r>
  </si>
  <si>
    <r>
      <t xml:space="preserve">Autobusy
</t>
    </r>
    <r>
      <rPr>
        <sz val="11"/>
        <color rgb="FFFF0000"/>
        <rFont val="Calibri"/>
        <family val="2"/>
        <charset val="238"/>
        <scheme val="minor"/>
      </rPr>
      <t>Autobusy</t>
    </r>
  </si>
  <si>
    <r>
      <t xml:space="preserve">Pozycja:
</t>
    </r>
    <r>
      <rPr>
        <sz val="11"/>
        <color rgb="FFFF0000"/>
        <rFont val="Calibri"/>
        <family val="2"/>
        <charset val="238"/>
        <scheme val="minor"/>
      </rPr>
      <t>Špecifikácia:</t>
    </r>
  </si>
  <si>
    <r>
      <t xml:space="preserve">- So </t>
    </r>
    <r>
      <rPr>
        <sz val="11"/>
        <color rgb="FFFF0000"/>
        <rFont val="Calibri"/>
        <family val="2"/>
        <charset val="238"/>
        <scheme val="minor"/>
      </rPr>
      <t>/ Ov</t>
    </r>
  </si>
  <si>
    <r>
      <t xml:space="preserve">- Sd  </t>
    </r>
    <r>
      <rPr>
        <sz val="11"/>
        <color rgb="FFFF0000"/>
        <rFont val="Calibri"/>
        <family val="2"/>
        <charset val="238"/>
        <scheme val="minor"/>
      </rPr>
      <t>/ Dv</t>
    </r>
  </si>
  <si>
    <r>
      <t xml:space="preserve">- Sc </t>
    </r>
    <r>
      <rPr>
        <sz val="11"/>
        <color rgb="FFFF0000"/>
        <rFont val="Calibri"/>
        <family val="2"/>
        <charset val="238"/>
        <scheme val="minor"/>
      </rPr>
      <t>/ Nvb</t>
    </r>
  </si>
  <si>
    <r>
      <t xml:space="preserve">- Scp </t>
    </r>
    <r>
      <rPr>
        <sz val="11"/>
        <color rgb="FFFF0000"/>
        <rFont val="Calibri"/>
        <family val="2"/>
        <charset val="238"/>
        <scheme val="minor"/>
      </rPr>
      <t>/ Nvp</t>
    </r>
  </si>
  <si>
    <r>
      <t xml:space="preserve">- A </t>
    </r>
    <r>
      <rPr>
        <sz val="11"/>
        <color rgb="FFFF0000"/>
        <rFont val="Calibri"/>
        <family val="2"/>
        <charset val="238"/>
        <scheme val="minor"/>
      </rPr>
      <t>/ A</t>
    </r>
  </si>
  <si>
    <r>
      <t xml:space="preserve">- So i Sd:
</t>
    </r>
    <r>
      <rPr>
        <sz val="11"/>
        <color rgb="FFFF0000"/>
        <rFont val="Calibri"/>
        <family val="2"/>
        <charset val="238"/>
        <scheme val="minor"/>
      </rPr>
      <t>- Ov a Dv:</t>
    </r>
  </si>
  <si>
    <r>
      <t xml:space="preserve">- Sc, Scp i A:
</t>
    </r>
    <r>
      <rPr>
        <sz val="11"/>
        <color rgb="FFFF0000"/>
        <rFont val="Calibri"/>
        <family val="2"/>
        <charset val="238"/>
        <scheme val="minor"/>
      </rPr>
      <t>- Nvb, NVp a A:</t>
    </r>
  </si>
  <si>
    <r>
      <t xml:space="preserve">Czas przejazdu So, Sd (s):
</t>
    </r>
    <r>
      <rPr>
        <sz val="11"/>
        <color rgb="FFFF0000"/>
        <rFont val="Calibri"/>
        <family val="2"/>
        <charset val="238"/>
        <scheme val="minor"/>
      </rPr>
      <t>Čas cestovania Ov, Dv (s):</t>
    </r>
  </si>
  <si>
    <r>
      <t xml:space="preserve">Czas przejazdu Sc, Scp, A (s):
</t>
    </r>
    <r>
      <rPr>
        <sz val="11"/>
        <color rgb="FFFF0000"/>
        <rFont val="Calibri"/>
        <family val="2"/>
        <charset val="238"/>
        <scheme val="minor"/>
      </rPr>
      <t>Čas cestovania Nvb, Nvp, A(s):</t>
    </r>
  </si>
  <si>
    <r>
      <t xml:space="preserve">Prędkości podróży o:
</t>
    </r>
    <r>
      <rPr>
        <sz val="11"/>
        <color rgb="FFFF0000"/>
        <rFont val="Calibri"/>
        <family val="2"/>
        <charset val="238"/>
        <scheme val="minor"/>
      </rPr>
      <t>Rýchlosti cestovania o:</t>
    </r>
  </si>
  <si>
    <r>
      <t>Zmiana SDR (SDR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>-SDR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):
</t>
    </r>
    <r>
      <rPr>
        <b/>
        <sz val="11"/>
        <color rgb="FFFF0000"/>
        <rFont val="Calibri"/>
        <family val="2"/>
        <charset val="238"/>
        <scheme val="minor"/>
      </rPr>
      <t>Zmena PDP (PDP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-PDP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):</t>
    </r>
  </si>
  <si>
    <r>
      <t xml:space="preserve">Zmiana czasu przejazdu Sc, Scp, A (s):
</t>
    </r>
    <r>
      <rPr>
        <sz val="11"/>
        <color rgb="FFFF0000"/>
        <rFont val="Calibri"/>
        <family val="2"/>
        <charset val="238"/>
        <scheme val="minor"/>
      </rPr>
      <t>Zmena času cestovania Nvb, Nvp, A(s):</t>
    </r>
  </si>
  <si>
    <r>
      <t xml:space="preserve">Zmiana czasu przejazdu So, Sd (s):
</t>
    </r>
    <r>
      <rPr>
        <sz val="11"/>
        <color rgb="FFFF0000"/>
        <rFont val="Calibri"/>
        <family val="2"/>
        <charset val="238"/>
        <scheme val="minor"/>
      </rPr>
      <t>Zmena času cestovania Ov, Dv (s):</t>
    </r>
  </si>
  <si>
    <r>
      <t xml:space="preserve">Koszty eksploatacji (roczne):
</t>
    </r>
    <r>
      <rPr>
        <sz val="11"/>
        <color rgb="FFFF0000"/>
        <rFont val="Calibri"/>
        <family val="2"/>
        <charset val="238"/>
        <scheme val="minor"/>
      </rPr>
      <t>Prevádzkové náklady (ročné):</t>
    </r>
  </si>
  <si>
    <r>
      <t>KEP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PNV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</si>
  <si>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KEP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PNV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</si>
  <si>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Zmiana KEP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>-KEP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1"/>
        <color rgb="FFFF0000"/>
        <rFont val="Calibri"/>
        <family val="2"/>
        <charset val="238"/>
        <scheme val="minor"/>
      </rPr>
      <t>Zmena PNV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-PNV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</si>
  <si>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t>B (-5%)</t>
  </si>
  <si>
    <t>A (-15 %)</t>
  </si>
  <si>
    <r>
      <t xml:space="preserve">Liczba pasażerów
</t>
    </r>
    <r>
      <rPr>
        <sz val="11"/>
        <color rgb="FFFF0000"/>
        <rFont val="Calibri"/>
        <family val="2"/>
        <charset val="238"/>
        <scheme val="minor"/>
      </rPr>
      <t>Počet cestujúcich</t>
    </r>
  </si>
  <si>
    <r>
      <t xml:space="preserve">Wartość czasu €/godz./os.
</t>
    </r>
    <r>
      <rPr>
        <sz val="11"/>
        <color rgb="FFFF0000"/>
        <rFont val="Calibri"/>
        <family val="2"/>
        <charset val="238"/>
        <scheme val="minor"/>
      </rPr>
      <t>Časová hodnota € / hod. / os.</t>
    </r>
  </si>
  <si>
    <r>
      <t>KP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</si>
  <si>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KP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</si>
  <si>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 xml:space="preserve">Wartość czasu €/pojazd/godz.
</t>
    </r>
    <r>
      <rPr>
        <sz val="11"/>
        <color rgb="FFFF0000"/>
        <rFont val="Calibri"/>
        <family val="2"/>
        <charset val="238"/>
        <scheme val="minor"/>
      </rPr>
      <t>Časová hodnota € / voz. / hod.</t>
    </r>
  </si>
  <si>
    <r>
      <t>KPT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</si>
  <si>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Zmiana KCP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>-KCP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1"/>
        <color rgb="FFFF0000"/>
        <rFont val="Calibri"/>
        <family val="2"/>
        <charset val="238"/>
        <scheme val="minor"/>
      </rPr>
      <t>Zmena 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-NCO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</si>
  <si>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Zmiana KPT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>-KPT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1"/>
        <color rgb="FFFF0000"/>
        <rFont val="Calibri"/>
        <family val="2"/>
        <charset val="238"/>
        <scheme val="minor"/>
      </rPr>
      <t>Zmena 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-NCN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</si>
  <si>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KPT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</si>
  <si>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 xml:space="preserve">Mnożniki:
</t>
    </r>
    <r>
      <rPr>
        <sz val="11"/>
        <color rgb="FFFF0000"/>
        <rFont val="Calibri"/>
        <family val="2"/>
        <charset val="238"/>
        <scheme val="minor"/>
      </rPr>
      <t>Multiplikátory:</t>
    </r>
  </si>
  <si>
    <r>
      <t xml:space="preserve">tak / nie 
</t>
    </r>
    <r>
      <rPr>
        <sz val="11"/>
        <color rgb="FFFF0000"/>
        <rFont val="Calibri"/>
        <family val="2"/>
        <charset val="238"/>
        <scheme val="minor"/>
      </rPr>
      <t>áno / nie</t>
    </r>
  </si>
  <si>
    <r>
      <t xml:space="preserve">współczynnik
</t>
    </r>
    <r>
      <rPr>
        <sz val="11"/>
        <color rgb="FFFF0000"/>
        <rFont val="Calibri"/>
        <family val="2"/>
        <charset val="238"/>
        <scheme val="minor"/>
      </rPr>
      <t>ukazovateľ</t>
    </r>
  </si>
  <si>
    <r>
      <t xml:space="preserve">- skrzyżowania jednopoziomowe
</t>
    </r>
    <r>
      <rPr>
        <sz val="11"/>
        <color rgb="FFFF0000"/>
        <rFont val="Calibri"/>
        <family val="2"/>
        <charset val="238"/>
        <scheme val="minor"/>
      </rPr>
      <t>- jednoúrovňové križovatky ciest</t>
    </r>
  </si>
  <si>
    <r>
      <t xml:space="preserve">- przejścia dla pieszych bez sygnalizacji
</t>
    </r>
    <r>
      <rPr>
        <sz val="11"/>
        <color rgb="FFFF0000"/>
        <rFont val="Calibri"/>
        <family val="2"/>
        <charset val="238"/>
        <scheme val="minor"/>
      </rPr>
      <t>- priechody pre chodcov bez semaforu</t>
    </r>
  </si>
  <si>
    <r>
      <t xml:space="preserve">- nawierzchnia śliska, koleiny
</t>
    </r>
    <r>
      <rPr>
        <sz val="11"/>
        <color rgb="FFFF0000"/>
        <rFont val="Calibri"/>
        <family val="2"/>
        <charset val="238"/>
        <scheme val="minor"/>
      </rPr>
      <t>- šmykľavý povrch vozovky, koľaje</t>
    </r>
  </si>
  <si>
    <r>
      <t xml:space="preserve">- inne (jakie?)……………………………..
</t>
    </r>
    <r>
      <rPr>
        <sz val="11"/>
        <color rgb="FFFF0000"/>
        <rFont val="Calibri"/>
        <family val="2"/>
        <charset val="238"/>
        <scheme val="minor"/>
      </rPr>
      <t>- ostatné (aké?)………………………..</t>
    </r>
  </si>
  <si>
    <r>
      <t xml:space="preserve">Średnia szerokość jezdni:
</t>
    </r>
    <r>
      <rPr>
        <sz val="11"/>
        <color rgb="FFFF0000"/>
        <rFont val="Calibri"/>
        <family val="2"/>
        <charset val="238"/>
        <scheme val="minor"/>
      </rPr>
      <t>Priemerná šírka vozovky:</t>
    </r>
  </si>
  <si>
    <r>
      <t xml:space="preserve">- szerokość jezdni
</t>
    </r>
    <r>
      <rPr>
        <sz val="11"/>
        <color rgb="FFFF0000"/>
        <rFont val="Calibri"/>
        <family val="2"/>
        <charset val="238"/>
        <scheme val="minor"/>
      </rPr>
      <t>- šírka vozovky</t>
    </r>
  </si>
  <si>
    <r>
      <t xml:space="preserve">Prawdopodobieństwo wypadku/ 1 mln poj. km
</t>
    </r>
    <r>
      <rPr>
        <sz val="8"/>
        <color rgb="FFFF0000"/>
        <rFont val="Calibri"/>
        <family val="2"/>
        <charset val="238"/>
        <scheme val="minor"/>
      </rPr>
      <t>Pravdepodobnosť nehody / 1 mln voz. km</t>
    </r>
  </si>
  <si>
    <r>
      <t xml:space="preserve">Jednostkowy koszt wypadku drogowego:
</t>
    </r>
    <r>
      <rPr>
        <sz val="11"/>
        <color rgb="FFFF0000"/>
        <rFont val="Calibri"/>
        <family val="2"/>
        <charset val="238"/>
        <scheme val="minor"/>
      </rPr>
      <t>Jednotkové náklady spojené s nehodami:</t>
    </r>
  </si>
  <si>
    <r>
      <t xml:space="preserve">Liczba wypadków (razem)
</t>
    </r>
    <r>
      <rPr>
        <sz val="11"/>
        <color rgb="FFFF0000"/>
        <rFont val="Calibri"/>
        <family val="2"/>
        <charset val="238"/>
        <scheme val="minor"/>
      </rPr>
      <t>Počet nehôd (kumulatívne)</t>
    </r>
  </si>
  <si>
    <r>
      <t>KW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</si>
  <si>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 xml:space="preserve">€ / szt.
</t>
    </r>
    <r>
      <rPr>
        <sz val="11"/>
        <color rgb="FFFF0000"/>
        <rFont val="Calibri"/>
        <family val="2"/>
        <charset val="238"/>
        <scheme val="minor"/>
      </rPr>
      <t>€ / ks.</t>
    </r>
  </si>
  <si>
    <t xml:space="preserve"> </t>
  </si>
  <si>
    <r>
      <t>KW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</si>
  <si>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Zmiana KW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>-KW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1"/>
        <color rgb="FFFF0000"/>
        <rFont val="Calibri"/>
        <family val="2"/>
        <charset val="238"/>
        <scheme val="minor"/>
      </rPr>
      <t>Zmena 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-NSN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</si>
  <si>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 xml:space="preserve">Liczba wypadków / 1 000 000 poj.km
</t>
    </r>
    <r>
      <rPr>
        <sz val="11"/>
        <color rgb="FFFF0000"/>
        <rFont val="Calibri"/>
        <family val="2"/>
        <charset val="238"/>
        <scheme val="minor"/>
      </rPr>
      <t>Počet nehôd / 1 000 000 voz.km</t>
    </r>
  </si>
  <si>
    <r>
      <t>Koszty emisji (KE</t>
    </r>
    <r>
      <rPr>
        <vertAlign val="subscript"/>
        <sz val="11"/>
        <rFont val="Calibri"/>
        <family val="2"/>
        <charset val="238"/>
        <scheme val="minor"/>
      </rPr>
      <t>0</t>
    </r>
    <r>
      <rPr>
        <sz val="11"/>
        <rFont val="Calibri"/>
        <family val="2"/>
        <charset val="238"/>
        <scheme val="minor"/>
      </rPr>
      <t xml:space="preserve">)
</t>
    </r>
    <r>
      <rPr>
        <sz val="11"/>
        <color rgb="FFFF0000"/>
        <rFont val="Calibri"/>
        <family val="2"/>
        <charset val="238"/>
        <scheme val="minor"/>
      </rPr>
      <t>Náklady spojené s emisiou (NSE</t>
    </r>
    <r>
      <rPr>
        <vertAlign val="sub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>)</t>
    </r>
  </si>
  <si>
    <r>
      <t>KE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</si>
  <si>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Koszty emisji (KE</t>
    </r>
    <r>
      <rPr>
        <vertAlign val="subscript"/>
        <sz val="11"/>
        <rFont val="Calibri"/>
        <family val="2"/>
        <charset val="238"/>
        <scheme val="minor"/>
      </rPr>
      <t>1</t>
    </r>
    <r>
      <rPr>
        <sz val="11"/>
        <rFont val="Calibri"/>
        <family val="2"/>
        <charset val="238"/>
        <scheme val="minor"/>
      </rPr>
      <t xml:space="preserve">)
</t>
    </r>
    <r>
      <rPr>
        <sz val="11"/>
        <color rgb="FFFF0000"/>
        <rFont val="Calibri"/>
        <family val="2"/>
        <charset val="238"/>
        <scheme val="minor"/>
      </rPr>
      <t>Náklady spojené s emisiou (NSE</t>
    </r>
    <r>
      <rPr>
        <vertAlign val="subscript"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>)</t>
    </r>
  </si>
  <si>
    <r>
      <t>KE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razem:
</t>
    </r>
    <r>
      <rPr>
        <b/>
        <sz val="11"/>
        <color rgb="FFFF0000"/>
        <rFont val="Calibri"/>
        <family val="2"/>
        <charset val="238"/>
        <scheme val="minor"/>
      </rPr>
      <t>Spolu 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</si>
  <si>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>Zmiana KE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>-KE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:
</t>
    </r>
    <r>
      <rPr>
        <b/>
        <sz val="11"/>
        <color rgb="FFFF0000"/>
        <rFont val="Calibri"/>
        <family val="2"/>
        <charset val="238"/>
        <scheme val="minor"/>
      </rPr>
      <t>Zmena 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-NSE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:</t>
    </r>
  </si>
  <si>
    <r>
      <t xml:space="preserve">Razem - inne koszty operacyjne:
</t>
    </r>
    <r>
      <rPr>
        <sz val="11"/>
        <color rgb="FFFF0000"/>
        <rFont val="Calibri"/>
        <family val="2"/>
        <charset val="238"/>
        <scheme val="minor"/>
      </rPr>
      <t>Spolu - ostatné prevádzkové náklady:</t>
    </r>
  </si>
  <si>
    <r>
      <t xml:space="preserve">Oszczędności uwzględnione w analizie luki finansowej (jak przychody):
</t>
    </r>
    <r>
      <rPr>
        <sz val="11"/>
        <color rgb="FFFF0000"/>
        <rFont val="Calibri"/>
        <family val="2"/>
        <charset val="238"/>
        <scheme val="minor"/>
      </rPr>
      <t>Úspory zohľadnené v analýze finančnej medzery (ako príjmy):</t>
    </r>
  </si>
  <si>
    <r>
      <t xml:space="preserve">KOSZTY OPERACYJNE (do obliczenia NPV):
</t>
    </r>
    <r>
      <rPr>
        <b/>
        <sz val="11"/>
        <color rgb="FFFF0000"/>
        <rFont val="Calibri"/>
        <family val="2"/>
        <charset val="238"/>
        <scheme val="minor"/>
      </rPr>
      <t>PREVÁDZKOVÉ NÁKLADY (pre výpočet NPV)</t>
    </r>
  </si>
  <si>
    <t>9.</t>
  </si>
  <si>
    <r>
      <t xml:space="preserve">4.6. KOSZTY OPERACYJNE - podsumowanie:
</t>
    </r>
    <r>
      <rPr>
        <b/>
        <sz val="11"/>
        <color rgb="FFFF0000"/>
        <rFont val="Calibri"/>
        <family val="2"/>
        <charset val="238"/>
        <scheme val="minor"/>
      </rPr>
      <t>4.6. PREVÁDZKOVÉ NÁKLADY - súhrn:</t>
    </r>
  </si>
  <si>
    <r>
      <t xml:space="preserve">Przychody i wpływy operacyjne:
</t>
    </r>
    <r>
      <rPr>
        <sz val="11"/>
        <color rgb="FFFF0000"/>
        <rFont val="Calibri"/>
        <family val="2"/>
        <charset val="238"/>
        <scheme val="minor"/>
      </rPr>
      <t>Prevádzkové príjmy a výnosy:</t>
    </r>
  </si>
  <si>
    <r>
      <t xml:space="preserve">Dotacje i subwencje:
</t>
    </r>
    <r>
      <rPr>
        <sz val="11"/>
        <color rgb="FFFF0000"/>
        <rFont val="Calibri"/>
        <family val="2"/>
        <charset val="238"/>
        <scheme val="minor"/>
      </rPr>
      <t>Granty a dotácie:</t>
    </r>
  </si>
  <si>
    <r>
      <t xml:space="preserve">Wpływy finansowe:
</t>
    </r>
    <r>
      <rPr>
        <sz val="11"/>
        <color rgb="FFFF0000"/>
        <rFont val="Calibri"/>
        <family val="2"/>
        <charset val="238"/>
        <scheme val="minor"/>
      </rPr>
      <t>Finančné príjmy:</t>
    </r>
  </si>
  <si>
    <r>
      <t xml:space="preserve">Inne wpływy:
</t>
    </r>
    <r>
      <rPr>
        <sz val="11"/>
        <color rgb="FFFF0000"/>
        <rFont val="Calibri"/>
        <family val="2"/>
        <charset val="238"/>
        <scheme val="minor"/>
      </rPr>
      <t>Ostatné príjmy:</t>
    </r>
  </si>
  <si>
    <r>
      <t xml:space="preserve">Wydatki operacyjne (bez amortyzacji):
</t>
    </r>
    <r>
      <rPr>
        <sz val="11"/>
        <color rgb="FFFF0000"/>
        <rFont val="Calibri"/>
        <family val="2"/>
        <charset val="238"/>
        <scheme val="minor"/>
      </rPr>
      <t>Prevádzkové výdavky (bez odpisov):</t>
    </r>
  </si>
  <si>
    <r>
      <t xml:space="preserve">Wydatki majątkowe:
</t>
    </r>
    <r>
      <rPr>
        <sz val="11"/>
        <color rgb="FFFF0000"/>
        <rFont val="Calibri"/>
        <family val="2"/>
        <charset val="238"/>
        <scheme val="minor"/>
      </rPr>
      <t>Kapitálové výdavky:</t>
    </r>
  </si>
  <si>
    <r>
      <t xml:space="preserve">Dywidendy:
</t>
    </r>
    <r>
      <rPr>
        <sz val="11"/>
        <color rgb="FFFF0000"/>
        <rFont val="Calibri"/>
        <family val="2"/>
        <charset val="238"/>
        <scheme val="minor"/>
      </rPr>
      <t>Dividendy:</t>
    </r>
  </si>
  <si>
    <r>
      <t xml:space="preserve">Wpływy wynikające z realizacji inwestycji:
</t>
    </r>
    <r>
      <rPr>
        <b/>
        <sz val="11"/>
        <color rgb="FFFF0000"/>
        <rFont val="Calibri"/>
        <family val="2"/>
        <charset val="238"/>
        <scheme val="minor"/>
      </rPr>
      <t>Príjmy vyplývajúce z realizácie investície:</t>
    </r>
  </si>
  <si>
    <r>
      <t xml:space="preserve">Dotacje:
</t>
    </r>
    <r>
      <rPr>
        <sz val="11"/>
        <color rgb="FFFF0000"/>
        <rFont val="Calibri"/>
        <family val="2"/>
        <charset val="238"/>
        <scheme val="minor"/>
      </rPr>
      <t>Dotácie:</t>
    </r>
  </si>
  <si>
    <r>
      <t xml:space="preserve">Wydatki wynikające z realizacji inwestycji:
</t>
    </r>
    <r>
      <rPr>
        <b/>
        <sz val="11"/>
        <color rgb="FFFF0000"/>
        <rFont val="Calibri"/>
        <family val="2"/>
        <charset val="238"/>
        <scheme val="minor"/>
      </rPr>
      <t>Výdavky vyplývajúce z realizácie investície:</t>
    </r>
  </si>
  <si>
    <r>
      <t xml:space="preserve">Przychody
</t>
    </r>
    <r>
      <rPr>
        <sz val="11"/>
        <color rgb="FFFF0000"/>
        <rFont val="Calibri"/>
        <family val="2"/>
        <charset val="238"/>
        <scheme val="minor"/>
      </rPr>
      <t>Príjmy</t>
    </r>
  </si>
  <si>
    <r>
      <t xml:space="preserve">- VAT
</t>
    </r>
    <r>
      <rPr>
        <sz val="11"/>
        <color rgb="FFFF0000"/>
        <rFont val="Calibri"/>
        <family val="2"/>
        <charset val="238"/>
        <scheme val="minor"/>
      </rPr>
      <t>- DPH</t>
    </r>
  </si>
  <si>
    <r>
      <t xml:space="preserve">Wskaźnik korekty MCFP:
</t>
    </r>
    <r>
      <rPr>
        <sz val="11"/>
        <color rgb="FFFF0000"/>
        <rFont val="Calibri"/>
        <family val="2"/>
        <charset val="238"/>
        <scheme val="minor"/>
      </rPr>
      <t>Konverzný faktor MCFP:</t>
    </r>
  </si>
  <si>
    <r>
      <t xml:space="preserve">Standardowy współczynnik konwersji:
</t>
    </r>
    <r>
      <rPr>
        <sz val="11"/>
        <color rgb="FFFF0000"/>
        <rFont val="Calibri"/>
        <family val="2"/>
        <charset val="238"/>
        <scheme val="minor"/>
      </rPr>
      <t>Konverzný faktor:</t>
    </r>
  </si>
  <si>
    <r>
      <t xml:space="preserve">Razem:
</t>
    </r>
    <r>
      <rPr>
        <b/>
        <sz val="11"/>
        <color rgb="FFFF0000"/>
        <rFont val="Calibri"/>
        <family val="2"/>
        <charset val="238"/>
        <scheme val="minor"/>
      </rPr>
      <t>Spolu:</t>
    </r>
  </si>
  <si>
    <r>
      <t xml:space="preserve">Czynniki finansowe po przekształceniach:
</t>
    </r>
    <r>
      <rPr>
        <b/>
        <sz val="11"/>
        <color rgb="FFFF0000"/>
        <rFont val="Calibri"/>
        <family val="2"/>
        <charset val="238"/>
        <scheme val="minor"/>
      </rPr>
      <t>Finančné faktory po zmenách:</t>
    </r>
  </si>
  <si>
    <r>
      <t xml:space="preserve">3. Efekty zewnętrzne
</t>
    </r>
    <r>
      <rPr>
        <b/>
        <u/>
        <sz val="11"/>
        <color rgb="FFFF0000"/>
        <rFont val="Calibri"/>
        <family val="2"/>
        <charset val="238"/>
        <scheme val="minor"/>
      </rPr>
      <t>3. Vonkajšie činitele</t>
    </r>
  </si>
  <si>
    <r>
      <t xml:space="preserve">Efekty zewnętrzne:
</t>
    </r>
    <r>
      <rPr>
        <sz val="11"/>
        <color rgb="FFFF0000"/>
        <rFont val="Calibri"/>
        <family val="2"/>
        <charset val="238"/>
        <scheme val="minor"/>
      </rPr>
      <t>Vonkajšie činitele:</t>
    </r>
  </si>
  <si>
    <r>
      <t xml:space="preserve">Przepływy ekonomiczne inwestycji:
</t>
    </r>
    <r>
      <rPr>
        <b/>
        <sz val="11"/>
        <color rgb="FFFF0000"/>
        <rFont val="Calibri"/>
        <family val="2"/>
        <charset val="238"/>
        <scheme val="minor"/>
      </rPr>
      <t>Ekonomický výsledok investície:</t>
    </r>
  </si>
  <si>
    <r>
      <t xml:space="preserve">Korzyści ekonomiczne
</t>
    </r>
    <r>
      <rPr>
        <b/>
        <sz val="11"/>
        <color rgb="FFFF0000"/>
        <rFont val="Calibri"/>
        <family val="2"/>
        <charset val="238"/>
        <scheme val="minor"/>
      </rPr>
      <t>Ekonomické prínosy</t>
    </r>
  </si>
  <si>
    <r>
      <t xml:space="preserve">Zdyskontowane korzyści ekonomiczne (B):
</t>
    </r>
    <r>
      <rPr>
        <b/>
        <sz val="11"/>
        <color rgb="FFFF0000"/>
        <rFont val="Calibri"/>
        <family val="2"/>
        <charset val="238"/>
        <scheme val="minor"/>
      </rPr>
      <t>Diskontované ekonomické prínosy (B):</t>
    </r>
  </si>
  <si>
    <r>
      <t xml:space="preserve">Zdyskontowane koszty ekonomiczne (C):
</t>
    </r>
    <r>
      <rPr>
        <b/>
        <sz val="11"/>
        <color rgb="FFFF0000"/>
        <rFont val="Calibri"/>
        <family val="2"/>
        <charset val="238"/>
        <scheme val="minor"/>
      </rPr>
      <t>Diskontované ekonomické náklady (C):</t>
    </r>
  </si>
  <si>
    <r>
      <t xml:space="preserve">Wskaźnik B/C:
</t>
    </r>
    <r>
      <rPr>
        <b/>
        <sz val="11"/>
        <color rgb="FFFF0000"/>
        <rFont val="Calibri"/>
        <family val="2"/>
        <charset val="238"/>
        <scheme val="minor"/>
      </rPr>
      <t>Ukazovateľ  B/C:</t>
    </r>
  </si>
  <si>
    <r>
      <t xml:space="preserve">4. Analiza wskaźników ekonomicznych
</t>
    </r>
    <r>
      <rPr>
        <b/>
        <u/>
        <sz val="11"/>
        <color rgb="FFFF0000"/>
        <rFont val="Calibri"/>
        <family val="2"/>
        <charset val="238"/>
        <scheme val="minor"/>
      </rPr>
      <t>4. Analýza ekonomických ukazovateľov</t>
    </r>
  </si>
  <si>
    <t>Riadky v tabuľke možno duplikovať, ak je to nutné.</t>
  </si>
  <si>
    <r>
      <t xml:space="preserve">2. Przepływy wynikające z realizacji inwestycji
</t>
    </r>
    <r>
      <rPr>
        <b/>
        <u/>
        <sz val="11"/>
        <color rgb="FFFF0000"/>
        <rFont val="Calibri"/>
        <family val="2"/>
        <charset val="238"/>
        <scheme val="minor"/>
      </rPr>
      <t>2. Toky vyplývajúce z realizácie investície</t>
    </r>
  </si>
  <si>
    <t>maxCR</t>
  </si>
  <si>
    <r>
      <t xml:space="preserve">Dotacja Interreg V-A PL-SK:
</t>
    </r>
    <r>
      <rPr>
        <sz val="11"/>
        <color rgb="FFFF0000"/>
        <rFont val="Calibri"/>
        <family val="2"/>
        <charset val="238"/>
        <scheme val="minor"/>
      </rPr>
      <t>Dotácia Interreg V-A PL-SK:</t>
    </r>
  </si>
  <si>
    <r>
      <t xml:space="preserve">Maksymalny poziom dofinansowania:
</t>
    </r>
    <r>
      <rPr>
        <sz val="11"/>
        <color rgb="FFFF0000"/>
        <rFont val="Calibri"/>
        <family val="2"/>
        <charset val="238"/>
        <scheme val="minor"/>
      </rPr>
      <t>Maximálna miera spolufinancovania:</t>
    </r>
  </si>
  <si>
    <r>
      <t xml:space="preserve">przychodów i wartości rezydualnej:
</t>
    </r>
    <r>
      <rPr>
        <sz val="11"/>
        <color rgb="FFFF0000"/>
        <rFont val="Calibri"/>
        <family val="2"/>
        <charset val="238"/>
        <scheme val="minor"/>
      </rPr>
      <t>príjmov a zostatkovej hodnoty:</t>
    </r>
  </si>
  <si>
    <r>
      <t xml:space="preserve">5.2. Wrażliwość na zmianę przychodów i wartości rezydualnej
</t>
    </r>
    <r>
      <rPr>
        <sz val="11"/>
        <color rgb="FFFF0000"/>
        <rFont val="Calibri"/>
        <family val="2"/>
        <charset val="238"/>
        <scheme val="minor"/>
      </rPr>
      <t>5.2. Citlivosť na zmenu príjmov a zostatkovej hodnoty</t>
    </r>
  </si>
  <si>
    <r>
      <t xml:space="preserve">wzrost przychodów i wartości rezydualnej
</t>
    </r>
    <r>
      <rPr>
        <sz val="11"/>
        <color rgb="FFFF0000"/>
        <rFont val="Calibri"/>
        <family val="2"/>
        <charset val="238"/>
        <scheme val="minor"/>
      </rPr>
      <t>nárast príjmov a zostatkovej hodnoty</t>
    </r>
  </si>
  <si>
    <r>
      <t xml:space="preserve">spadek przychodów i wartości rezydualnej
</t>
    </r>
    <r>
      <rPr>
        <sz val="11"/>
        <color rgb="FFFF0000"/>
        <rFont val="Calibri"/>
        <family val="2"/>
        <charset val="238"/>
        <scheme val="minor"/>
      </rPr>
      <t>pokles príjmov a zostatkovej hodnoty</t>
    </r>
  </si>
  <si>
    <r>
      <t xml:space="preserve">Rok zakończenia inwestycji:
</t>
    </r>
    <r>
      <rPr>
        <sz val="11"/>
        <color rgb="FFFF0000"/>
        <rFont val="Calibri"/>
        <family val="2"/>
        <charset val="238"/>
        <scheme val="minor"/>
      </rPr>
      <t>Rok dokončenia investície:</t>
    </r>
  </si>
  <si>
    <r>
      <t xml:space="preserve">Współczynniki dyskonta dla analizy finansowej.
</t>
    </r>
    <r>
      <rPr>
        <sz val="11"/>
        <color rgb="FFFF0000"/>
        <rFont val="Calibri"/>
        <family val="2"/>
        <charset val="238"/>
        <scheme val="minor"/>
      </rPr>
      <t>Diskontné faktory pre finančnú analýzu.</t>
    </r>
  </si>
  <si>
    <r>
      <t xml:space="preserve">Lata analizy:
</t>
    </r>
    <r>
      <rPr>
        <sz val="11"/>
        <color rgb="FFFF0000"/>
        <rFont val="Calibri"/>
        <family val="2"/>
        <charset val="238"/>
        <scheme val="minor"/>
      </rPr>
      <t>Analyzované roky:</t>
    </r>
  </si>
  <si>
    <r>
      <t xml:space="preserve">Współczynniki dyskonta dla analizy ekonomicznej.
</t>
    </r>
    <r>
      <rPr>
        <sz val="11"/>
        <color rgb="FFFF0000"/>
        <rFont val="Calibri"/>
        <family val="2"/>
        <charset val="238"/>
        <scheme val="minor"/>
      </rPr>
      <t>Diskontné faktory pre ekonomickú analýzu.</t>
    </r>
  </si>
  <si>
    <r>
      <t xml:space="preserve">Czy inwestycja generuje przychody ? (art. 61 ust. 1 Rozporządzenia (EU) 1303/2013: opłaty ponoszone bezpośrednio przez użytkowników za użytkowanie infrastruktury, sprzedaż lub dzierżawę gruntu lub budynków lub opłaty za usługi):
</t>
    </r>
    <r>
      <rPr>
        <sz val="11"/>
        <color rgb="FFFF0000"/>
        <rFont val="Calibri"/>
        <family val="2"/>
        <charset val="238"/>
        <scheme val="minor"/>
      </rPr>
      <t>Vytvára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investícia príjmy? (článok 61 odsek 1 nariadenia (EÚ) č. 1303/2013: náklady, ktoré priamo znášajú užívatelia za využívanie infraštruktúry, predaj alebo prenájom pozemkov alebo budov, alebo platby za služby):</t>
    </r>
  </si>
  <si>
    <r>
      <t xml:space="preserve">Parametry techniczne - stan projektowany (1):
</t>
    </r>
    <r>
      <rPr>
        <sz val="11"/>
        <color rgb="FFFF0000"/>
        <rFont val="Calibri"/>
        <family val="2"/>
        <charset val="238"/>
        <scheme val="minor"/>
      </rPr>
      <t>Technické parametre - navrhovaný stav (1):</t>
    </r>
  </si>
  <si>
    <r>
      <t xml:space="preserve">DANE DO ANALIZY FINANSOWEJ INWESTYCJI:
</t>
    </r>
    <r>
      <rPr>
        <b/>
        <sz val="11"/>
        <color rgb="FFFF0000"/>
        <rFont val="Calibri"/>
        <family val="2"/>
        <charset val="238"/>
        <scheme val="minor"/>
      </rPr>
      <t>ÚDAJE PRE FINANČNÚ ANALÝZU INVESTÍCIE:</t>
    </r>
  </si>
  <si>
    <r>
      <t xml:space="preserve">Rodzaj wydatków:
</t>
    </r>
    <r>
      <rPr>
        <sz val="11"/>
        <color rgb="FFFF0000"/>
        <rFont val="Calibri"/>
        <family val="2"/>
        <charset val="238"/>
        <scheme val="minor"/>
      </rPr>
      <t>Kategória výdavkov:</t>
    </r>
  </si>
  <si>
    <r>
      <t xml:space="preserve">Wydatki netto:
</t>
    </r>
    <r>
      <rPr>
        <sz val="11"/>
        <color rgb="FFFF0000"/>
        <rFont val="Calibri"/>
        <family val="2"/>
        <charset val="238"/>
        <scheme val="minor"/>
      </rPr>
      <t>Výdavky netto:</t>
    </r>
  </si>
  <si>
    <r>
      <t xml:space="preserve">Kwalifikowany VAT:
</t>
    </r>
    <r>
      <rPr>
        <sz val="11"/>
        <color rgb="FFFF0000"/>
        <rFont val="Calibri"/>
        <family val="2"/>
        <charset val="238"/>
        <scheme val="minor"/>
      </rPr>
      <t>Refundovateľná DPH:</t>
    </r>
  </si>
  <si>
    <r>
      <t xml:space="preserve">w tym kwalifikowany VAT:
</t>
    </r>
    <r>
      <rPr>
        <sz val="11"/>
        <color rgb="FFFF0000"/>
        <rFont val="Calibri"/>
        <family val="2"/>
        <charset val="238"/>
        <scheme val="minor"/>
      </rPr>
      <t>vrátane refundovateľnej DPH:</t>
    </r>
  </si>
  <si>
    <r>
      <t xml:space="preserve">VAT od wydatków niekwalifikowanych:
</t>
    </r>
    <r>
      <rPr>
        <sz val="11"/>
        <color rgb="FFFF0000"/>
        <rFont val="Calibri"/>
        <family val="2"/>
        <charset val="238"/>
        <scheme val="minor"/>
      </rPr>
      <t>DPH z neoprávnených výdavkov:</t>
    </r>
  </si>
  <si>
    <r>
      <t xml:space="preserve">VAT, który podlega rozliczeniu z organami skarbowymi:
</t>
    </r>
    <r>
      <rPr>
        <sz val="11"/>
        <color rgb="FFFF0000"/>
        <rFont val="Calibri"/>
        <family val="2"/>
        <charset val="238"/>
        <scheme val="minor"/>
      </rPr>
      <t>DPH, ktorá je predmetom zúčtovania na daňovom úrade:</t>
    </r>
  </si>
  <si>
    <r>
      <t xml:space="preserve">w tym niekwalifikowany VAT:
</t>
    </r>
    <r>
      <rPr>
        <sz val="11"/>
        <color rgb="FFFF0000"/>
        <rFont val="Calibri"/>
        <family val="2"/>
        <charset val="238"/>
        <scheme val="minor"/>
      </rPr>
      <t>vrátane nerefundovateľnej DPH:</t>
    </r>
  </si>
  <si>
    <r>
      <t xml:space="preserve">Uwaga:
</t>
    </r>
    <r>
      <rPr>
        <b/>
        <u/>
        <sz val="11"/>
        <color rgb="FFFF0000"/>
        <rFont val="Calibri"/>
        <family val="2"/>
        <charset val="238"/>
        <scheme val="minor"/>
      </rPr>
      <t>Pripomienka:</t>
    </r>
  </si>
  <si>
    <r>
      <t xml:space="preserve">ŚRODEK TRWAŁY NR 1:
</t>
    </r>
    <r>
      <rPr>
        <b/>
        <sz val="11"/>
        <color rgb="FFFF0000"/>
        <rFont val="Calibri"/>
        <family val="2"/>
        <charset val="238"/>
        <scheme val="minor"/>
      </rPr>
      <t>DLHODOBÝ MAJETOK Č. 1:</t>
    </r>
  </si>
  <si>
    <r>
      <t xml:space="preserve">Wartość początkowa środka trwałego 1:
</t>
    </r>
    <r>
      <rPr>
        <sz val="11"/>
        <color rgb="FFFF0000"/>
        <rFont val="Calibri"/>
        <family val="2"/>
        <charset val="238"/>
        <scheme val="minor"/>
      </rPr>
      <t>Počiatočná hodnota dlhodobého majetku 1:</t>
    </r>
  </si>
  <si>
    <r>
      <t xml:space="preserve">Przewidywana liczba lat użytkowania infrastuktury  poza okres analizy:
</t>
    </r>
    <r>
      <rPr>
        <sz val="11"/>
        <color rgb="FFFF0000"/>
        <rFont val="Calibri"/>
        <family val="2"/>
        <charset val="238"/>
        <scheme val="minor"/>
      </rPr>
      <t>Plánovaný počet rokov používania infraštruktúry nad rámec daného referenčného obdobia:</t>
    </r>
  </si>
  <si>
    <r>
      <t xml:space="preserve">Wartość początkowa: </t>
    </r>
    <r>
      <rPr>
        <sz val="11"/>
        <color rgb="FFFF0000"/>
        <rFont val="Calibri"/>
        <family val="2"/>
        <charset val="238"/>
        <scheme val="minor"/>
      </rPr>
      <t>Počiatočná hodnota:</t>
    </r>
  </si>
  <si>
    <r>
      <t xml:space="preserve">Wartość na początek roku: </t>
    </r>
    <r>
      <rPr>
        <sz val="11"/>
        <color rgb="FFFF0000"/>
        <rFont val="Calibri"/>
        <family val="2"/>
        <charset val="238"/>
        <scheme val="minor"/>
      </rPr>
      <t>Hodnota na začiatku roka:</t>
    </r>
  </si>
  <si>
    <r>
      <t xml:space="preserve">ŚRODEK TRWAŁY NR 2:
</t>
    </r>
    <r>
      <rPr>
        <b/>
        <sz val="11"/>
        <color rgb="FFFF0000"/>
        <rFont val="Calibri"/>
        <family val="2"/>
        <charset val="238"/>
        <scheme val="minor"/>
      </rPr>
      <t>DLHODOBÝ MAJETOK Č. 2:</t>
    </r>
  </si>
  <si>
    <r>
      <t xml:space="preserve">Wartość początkowa środka trwałego 2:
</t>
    </r>
    <r>
      <rPr>
        <sz val="11"/>
        <color rgb="FFFF0000"/>
        <rFont val="Calibri"/>
        <family val="2"/>
        <charset val="238"/>
        <scheme val="minor"/>
      </rPr>
      <t>Počiatočná hodnota dlhodobého majetku 2:</t>
    </r>
  </si>
  <si>
    <r>
      <t xml:space="preserve">ŚRODEK TRWAŁY NR 3:
</t>
    </r>
    <r>
      <rPr>
        <b/>
        <sz val="11"/>
        <color rgb="FFFF0000"/>
        <rFont val="Calibri"/>
        <family val="2"/>
        <charset val="238"/>
        <scheme val="minor"/>
      </rPr>
      <t>DLHODOBÝ MAJETOK Č. 3:</t>
    </r>
  </si>
  <si>
    <r>
      <t xml:space="preserve">Wartość początkowa środka trwałego 3:
</t>
    </r>
    <r>
      <rPr>
        <sz val="11"/>
        <color rgb="FFFF0000"/>
        <rFont val="Calibri"/>
        <family val="2"/>
        <charset val="238"/>
        <scheme val="minor"/>
      </rPr>
      <t>Počiatočná hodnota dlhodobého majetku 3:</t>
    </r>
  </si>
  <si>
    <r>
      <t xml:space="preserve">Wartość początkowa: 
</t>
    </r>
    <r>
      <rPr>
        <sz val="11"/>
        <color rgb="FFFF0000"/>
        <rFont val="Calibri"/>
        <family val="2"/>
        <charset val="238"/>
        <scheme val="minor"/>
      </rPr>
      <t>Počiatočná hodnota:</t>
    </r>
  </si>
  <si>
    <r>
      <t xml:space="preserve">Wartość na początek roku: 
</t>
    </r>
    <r>
      <rPr>
        <sz val="11"/>
        <color rgb="FFFF0000"/>
        <rFont val="Calibri"/>
        <family val="2"/>
        <charset val="238"/>
        <scheme val="minor"/>
      </rPr>
      <t>Hodnota na začiatku roka:</t>
    </r>
  </si>
  <si>
    <t>Výpočet opotrebenia dlhodobého majetku slúži na určenie predpokladanej doby jeho využiteľnosti. Odpisy sa neberú do úvahy pri výpočte diskontných faktorov.</t>
  </si>
  <si>
    <r>
      <t xml:space="preserve">Razem amortyzacja:
</t>
    </r>
    <r>
      <rPr>
        <b/>
        <sz val="11"/>
        <color rgb="FFFF0000"/>
        <rFont val="Calibri"/>
        <family val="2"/>
        <charset val="238"/>
        <scheme val="minor"/>
      </rPr>
      <t>Celkové odpisy:</t>
    </r>
  </si>
  <si>
    <r>
      <t xml:space="preserve">Przychód z usługi 1:
</t>
    </r>
    <r>
      <rPr>
        <b/>
        <sz val="11"/>
        <color rgb="FFFF0000"/>
        <rFont val="Calibri"/>
        <family val="2"/>
        <charset val="238"/>
        <scheme val="minor"/>
      </rPr>
      <t>Príjmy zo služby 1:</t>
    </r>
  </si>
  <si>
    <r>
      <t xml:space="preserve">Przychód z usługi 2:
</t>
    </r>
    <r>
      <rPr>
        <b/>
        <sz val="11"/>
        <color rgb="FFFF0000"/>
        <rFont val="Calibri"/>
        <family val="2"/>
        <charset val="238"/>
        <scheme val="minor"/>
      </rPr>
      <t>Príjmy zo služby 2:</t>
    </r>
  </si>
  <si>
    <r>
      <t xml:space="preserve">Przychód z usługi 3:
</t>
    </r>
    <r>
      <rPr>
        <b/>
        <sz val="11"/>
        <color rgb="FFFF0000"/>
        <rFont val="Calibri"/>
        <family val="2"/>
        <charset val="238"/>
        <scheme val="minor"/>
      </rPr>
      <t>Príjmy zo služby 3:</t>
    </r>
  </si>
  <si>
    <r>
      <t xml:space="preserve">Wynajem:
</t>
    </r>
    <r>
      <rPr>
        <sz val="11"/>
        <color rgb="FFFF0000"/>
        <rFont val="Calibri"/>
        <family val="2"/>
        <charset val="238"/>
        <scheme val="minor"/>
      </rPr>
      <t>Prenájom:</t>
    </r>
  </si>
  <si>
    <r>
      <t xml:space="preserve">Liczba pomieszczeń / powierzchnia:
</t>
    </r>
    <r>
      <rPr>
        <i/>
        <sz val="10"/>
        <color rgb="FFFF0000"/>
        <rFont val="Calibri"/>
        <family val="2"/>
        <charset val="238"/>
        <scheme val="minor"/>
      </rPr>
      <t>Počet miestností/ výmera:</t>
    </r>
  </si>
  <si>
    <r>
      <t xml:space="preserve">Razem (wartość nominalna):
</t>
    </r>
    <r>
      <rPr>
        <b/>
        <sz val="11"/>
        <color rgb="FFFF0000"/>
        <rFont val="Calibri"/>
        <family val="2"/>
        <charset val="238"/>
        <scheme val="minor"/>
      </rPr>
      <t>Spolu  (nominálna hodnota):</t>
    </r>
  </si>
  <si>
    <r>
      <t xml:space="preserve">4.1. Koszty utrzymania drogowego - stan obecny
</t>
    </r>
    <r>
      <rPr>
        <b/>
        <u/>
        <sz val="11"/>
        <color rgb="FFFF0000"/>
        <rFont val="Calibri"/>
        <family val="2"/>
        <charset val="238"/>
        <scheme val="minor"/>
      </rPr>
      <t>4.1. Náklady na  údržbu ciest - súčasná situácia</t>
    </r>
  </si>
  <si>
    <r>
      <t xml:space="preserve">Częstotliwość remontów:
</t>
    </r>
    <r>
      <rPr>
        <sz val="11"/>
        <color rgb="FFFF0000"/>
        <rFont val="Calibri"/>
        <family val="2"/>
        <charset val="238"/>
        <scheme val="minor"/>
      </rPr>
      <t>Časový plán opráv:</t>
    </r>
  </si>
  <si>
    <r>
      <t xml:space="preserve">Stan techniczny B:
</t>
    </r>
    <r>
      <rPr>
        <sz val="11"/>
        <color rgb="FFFF0000"/>
        <rFont val="Calibri"/>
        <family val="2"/>
        <charset val="238"/>
        <scheme val="minor"/>
      </rPr>
      <t>Technický stav B:</t>
    </r>
  </si>
  <si>
    <r>
      <t xml:space="preserve">Stan techniczny C:
</t>
    </r>
    <r>
      <rPr>
        <sz val="11"/>
        <color rgb="FFFF0000"/>
        <rFont val="Calibri"/>
        <family val="2"/>
        <charset val="238"/>
        <scheme val="minor"/>
      </rPr>
      <t>Technický stav C:</t>
    </r>
  </si>
  <si>
    <r>
      <t xml:space="preserve">Razem - stan obecny:
</t>
    </r>
    <r>
      <rPr>
        <b/>
        <sz val="11"/>
        <color rgb="FFFF0000"/>
        <rFont val="Calibri"/>
        <family val="2"/>
        <charset val="238"/>
        <scheme val="minor"/>
      </rPr>
      <t>Celkové náklady - variant bez investície:</t>
    </r>
  </si>
  <si>
    <r>
      <t xml:space="preserve">Razem - stan projektowany:
</t>
    </r>
    <r>
      <rPr>
        <b/>
        <sz val="11"/>
        <color rgb="FFFF0000"/>
        <rFont val="Calibri"/>
        <family val="2"/>
        <charset val="238"/>
        <scheme val="minor"/>
      </rPr>
      <t>Celkové náklady - variant s investíciou:</t>
    </r>
  </si>
  <si>
    <r>
      <t xml:space="preserve">Kategoria:
</t>
    </r>
    <r>
      <rPr>
        <sz val="11"/>
        <color rgb="FFFF0000"/>
        <rFont val="Calibri"/>
        <family val="2"/>
        <charset val="238"/>
        <scheme val="minor"/>
      </rPr>
      <t>Kategória:</t>
    </r>
  </si>
  <si>
    <r>
      <t xml:space="preserve">4.4. Inne koszty, których zmiany mogą wystąpić w przypadku realizacji inwestycji.
</t>
    </r>
    <r>
      <rPr>
        <b/>
        <u/>
        <sz val="11"/>
        <color rgb="FFFF0000"/>
        <rFont val="Calibri"/>
        <family val="2"/>
        <charset val="238"/>
        <scheme val="minor"/>
      </rPr>
      <t>4.4. Ostatné náklady, zmeny ktorých môžu nastať v prípade realizácie investície.</t>
    </r>
  </si>
  <si>
    <r>
      <t xml:space="preserve">4.5. Rozliczenie oszczędności kosztów operacyjnych
</t>
    </r>
    <r>
      <rPr>
        <b/>
        <sz val="11"/>
        <color rgb="FFFF0000"/>
        <rFont val="Calibri"/>
        <family val="2"/>
        <charset val="238"/>
        <scheme val="minor"/>
      </rPr>
      <t>4.5. Vyúčtovanie úspor prevádzkových nákladov</t>
    </r>
  </si>
  <si>
    <r>
      <t xml:space="preserve">Wartość oszczędności:
</t>
    </r>
    <r>
      <rPr>
        <sz val="11"/>
        <color rgb="FFFF0000"/>
        <rFont val="Calibri"/>
        <family val="2"/>
        <charset val="238"/>
        <scheme val="minor"/>
      </rPr>
      <t>Hodnota úspor:</t>
    </r>
  </si>
  <si>
    <r>
      <t xml:space="preserve">Obniżenie dotacji na działalność w związku z rozliczeniem oszczędności: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úspor:</t>
    </r>
  </si>
  <si>
    <r>
      <t xml:space="preserve">KOSZTY OPERACYJNE (do analizy luki w finansowaniu):
</t>
    </r>
    <r>
      <rPr>
        <b/>
        <sz val="11"/>
        <color rgb="FFFF0000"/>
        <rFont val="Calibri"/>
        <family val="2"/>
        <charset val="238"/>
        <scheme val="minor"/>
      </rPr>
      <t>PREVÁDZKOVÉ NÁKLADY (pre potreby analýzy finančnej medzery):</t>
    </r>
  </si>
  <si>
    <t>Riadky v tabuľke možno v prípade väčšieho počtu analyzovaných úsekov ciest duplikovať.</t>
  </si>
  <si>
    <r>
      <t xml:space="preserve">Część inwestycyjna:
</t>
    </r>
    <r>
      <rPr>
        <b/>
        <sz val="11"/>
        <color rgb="FFFF0000"/>
        <rFont val="Calibri"/>
        <family val="2"/>
        <charset val="238"/>
        <scheme val="minor"/>
      </rPr>
      <t>Investičná časť:</t>
    </r>
  </si>
  <si>
    <r>
      <t xml:space="preserve">Wydatki na inwestycję brutto:
</t>
    </r>
    <r>
      <rPr>
        <sz val="11"/>
        <color rgb="FFFF0000"/>
        <rFont val="Calibri"/>
        <family val="2"/>
        <charset val="238"/>
        <scheme val="minor"/>
      </rPr>
      <t>Výdavky na investície brutto:</t>
    </r>
  </si>
  <si>
    <r>
      <t xml:space="preserve">- środki beneficjenta / operatora
</t>
    </r>
    <r>
      <rPr>
        <i/>
        <sz val="11"/>
        <color rgb="FFFF0000"/>
        <rFont val="Calibri"/>
        <family val="2"/>
        <charset val="238"/>
        <scheme val="minor"/>
      </rPr>
      <t>- Vlastné prostriedky žiadateľa / prevádzkovateľa</t>
    </r>
  </si>
  <si>
    <r>
      <t xml:space="preserve">Dywidenda dla partnerów / operatora "-":
</t>
    </r>
    <r>
      <rPr>
        <sz val="11"/>
        <color rgb="FFFF0000"/>
        <rFont val="Calibri"/>
        <family val="2"/>
        <charset val="238"/>
        <scheme val="minor"/>
      </rPr>
      <t>Dividenda pre partnerov / prevádzkovateľov "-":</t>
    </r>
  </si>
  <si>
    <r>
      <t xml:space="preserve">Część wynikowa:
</t>
    </r>
    <r>
      <rPr>
        <b/>
        <sz val="11"/>
        <color rgb="FFFF0000"/>
        <rFont val="Calibri"/>
        <family val="2"/>
        <charset val="238"/>
        <scheme val="minor"/>
      </rPr>
      <t>Výsledky:</t>
    </r>
  </si>
  <si>
    <r>
      <t xml:space="preserve">Stan środków pieniężnych na początek roku:
</t>
    </r>
    <r>
      <rPr>
        <sz val="11"/>
        <color rgb="FFFF0000"/>
        <rFont val="Calibri"/>
        <family val="2"/>
        <charset val="238"/>
        <scheme val="minor"/>
      </rPr>
      <t>Stav peňažných prostriedkov na začiatku roka:</t>
    </r>
  </si>
  <si>
    <r>
      <t xml:space="preserve">Stan środków pieniężnych na koniec roku:
</t>
    </r>
    <r>
      <rPr>
        <sz val="11"/>
        <color rgb="FFFF0000"/>
        <rFont val="Calibri"/>
        <family val="2"/>
        <charset val="238"/>
        <scheme val="minor"/>
      </rPr>
      <t>Stav peňažných prostriedkov na konci roka:</t>
    </r>
  </si>
  <si>
    <r>
      <t xml:space="preserve">WYNIKI ANALIZY FINANSOWEJ DLA INWESTYCJI:
</t>
    </r>
    <r>
      <rPr>
        <b/>
        <sz val="11"/>
        <color rgb="FFFF0000"/>
        <rFont val="Calibri"/>
        <family val="2"/>
        <charset val="238"/>
        <scheme val="minor"/>
      </rPr>
      <t>VÝSLEDKY FINANČNEJ ANALÝZY INVESTÍCIE:</t>
    </r>
  </si>
  <si>
    <r>
      <t>1.1. Metoda obliczania zdyskontowanego dochodu
1</t>
    </r>
    <r>
      <rPr>
        <sz val="11"/>
        <color rgb="FFFF0000"/>
        <rFont val="Calibri"/>
        <family val="2"/>
        <charset val="238"/>
        <scheme val="minor"/>
      </rPr>
      <t>.1. Metóda výpočtu diskontovaného príjmu</t>
    </r>
  </si>
  <si>
    <r>
      <t xml:space="preserve">Zdyskontowana wartość netto (FNPV/C):
</t>
    </r>
    <r>
      <rPr>
        <b/>
        <sz val="11"/>
        <color rgb="FFFF0000"/>
        <rFont val="Calibri"/>
        <family val="2"/>
        <charset val="238"/>
        <scheme val="minor"/>
      </rPr>
      <t>Diskontovaná čistá hodnota (FNPV/C):</t>
    </r>
  </si>
  <si>
    <r>
      <t xml:space="preserve">Zdyskontowana wartość netto (FNPV/K):
</t>
    </r>
    <r>
      <rPr>
        <b/>
        <sz val="11"/>
        <color rgb="FFFF0000"/>
        <rFont val="Calibri"/>
        <family val="2"/>
        <charset val="238"/>
        <scheme val="minor"/>
      </rPr>
      <t>Diskontovaná čistá hodnota (FNPV/K):</t>
    </r>
  </si>
  <si>
    <r>
      <t xml:space="preserve">ANALIZA TRWAŁOŚCI FINANSOWEJ INWESTYCJI:
</t>
    </r>
    <r>
      <rPr>
        <b/>
        <sz val="11"/>
        <color rgb="FFFF0000"/>
        <rFont val="Calibri"/>
        <family val="2"/>
        <charset val="238"/>
        <scheme val="minor"/>
      </rPr>
      <t>ANALÝZA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FINANČNEJ UDRŽATEĽNOSTI INVESTÍCIE:</t>
    </r>
  </si>
  <si>
    <r>
      <t xml:space="preserve">Wpływy (niezależne od inwestycji):
</t>
    </r>
    <r>
      <rPr>
        <b/>
        <sz val="11"/>
        <color rgb="FFFF0000"/>
        <rFont val="Calibri"/>
        <family val="2"/>
        <charset val="238"/>
        <scheme val="minor"/>
      </rPr>
      <t>Peňažné výnosy (nezávislé na investícii):</t>
    </r>
  </si>
  <si>
    <r>
      <t xml:space="preserve">Wpływy majątkowe:
</t>
    </r>
    <r>
      <rPr>
        <sz val="11"/>
        <color rgb="FFFF0000"/>
        <rFont val="Calibri"/>
        <family val="2"/>
        <charset val="238"/>
        <scheme val="minor"/>
      </rPr>
      <t>Kapitálové príjmy:</t>
    </r>
  </si>
  <si>
    <r>
      <t xml:space="preserve">Wydatki (niezależne od inwestycji):
</t>
    </r>
    <r>
      <rPr>
        <b/>
        <sz val="11"/>
        <color rgb="FFFF0000"/>
        <rFont val="Calibri"/>
        <family val="2"/>
        <charset val="238"/>
        <scheme val="minor"/>
      </rPr>
      <t>Výdavky (nezávislé na investícii):</t>
    </r>
  </si>
  <si>
    <r>
      <t xml:space="preserve">Inne wydatki:
</t>
    </r>
    <r>
      <rPr>
        <sz val="11"/>
        <color rgb="FFFF0000"/>
        <rFont val="Calibri"/>
        <family val="2"/>
        <charset val="238"/>
        <scheme val="minor"/>
      </rPr>
      <t>Ostatné výdavky:</t>
    </r>
  </si>
  <si>
    <r>
      <t xml:space="preserve">Obniżenie dotacji na działalność w związku z rozliczeniem oszczędności
</t>
    </r>
    <r>
      <rPr>
        <sz val="11"/>
        <color rgb="FFFF0000"/>
        <rFont val="Calibri"/>
        <family val="2"/>
        <charset val="238"/>
        <scheme val="minor"/>
      </rPr>
      <t>Zníženie dotácie na financovanie prevádzky v súvislosti s vyúčtovaním úspor.</t>
    </r>
  </si>
  <si>
    <r>
      <t xml:space="preserve">Saldo przepływów inwestycji:
</t>
    </r>
    <r>
      <rPr>
        <b/>
        <sz val="11"/>
        <color rgb="FFFF0000"/>
        <rFont val="Calibri"/>
        <family val="2"/>
        <charset val="238"/>
        <scheme val="minor"/>
      </rPr>
      <t>Zostatok peňažných tokov investície:</t>
    </r>
  </si>
  <si>
    <r>
      <t xml:space="preserve">3. Część wynikowa:
</t>
    </r>
    <r>
      <rPr>
        <b/>
        <u/>
        <sz val="11"/>
        <color rgb="FFFF0000"/>
        <rFont val="Calibri"/>
        <family val="2"/>
        <charset val="238"/>
        <scheme val="minor"/>
      </rPr>
      <t>3. Výsledková časť:</t>
    </r>
  </si>
  <si>
    <r>
      <t xml:space="preserve">Udział wydatków związanych z realizacją inwestycji w wydatkach podmiotu ogółem:
</t>
    </r>
    <r>
      <rPr>
        <sz val="11"/>
        <color rgb="FFFF0000"/>
        <rFont val="Calibri"/>
        <family val="2"/>
        <charset val="238"/>
        <scheme val="minor"/>
      </rPr>
      <t>Podiel výdavkov spojených s realizáciou investície na celkových výdavkoch subjektu:</t>
    </r>
  </si>
  <si>
    <r>
      <t>1.1. NATĘŻENIE RUCHU - stan obecny (SDR</t>
    </r>
    <r>
      <rPr>
        <b/>
        <vertAlign val="subscript"/>
        <sz val="11"/>
        <color theme="1"/>
        <rFont val="Calibri"/>
        <family val="2"/>
        <charset val="238"/>
        <scheme val="minor"/>
      </rPr>
      <t>0</t>
    </r>
    <r>
      <rPr>
        <b/>
        <sz val="11"/>
        <color theme="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1.1. INTENZITA PREMÁVKY - variant bez investície (PDP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</si>
  <si>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 xml:space="preserve">Średni ruch dobowy (SDR)
</t>
    </r>
    <r>
      <rPr>
        <sz val="11"/>
        <color rgb="FFFF0000"/>
        <rFont val="Calibri"/>
        <family val="2"/>
        <charset val="238"/>
        <scheme val="minor"/>
      </rPr>
      <t>Priemerná denná intenzita dopravy (PDIP)</t>
    </r>
  </si>
  <si>
    <r>
      <t xml:space="preserve">Razem SDR
</t>
    </r>
    <r>
      <rPr>
        <b/>
        <sz val="11"/>
        <color rgb="FFFF0000"/>
        <rFont val="Calibri"/>
        <family val="2"/>
        <charset val="238"/>
        <scheme val="minor"/>
      </rPr>
      <t>Spolu PDIP</t>
    </r>
  </si>
  <si>
    <r>
      <t>SDR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 - stan obecny:
</t>
    </r>
    <r>
      <rPr>
        <b/>
        <sz val="11"/>
        <color rgb="FFFF0000"/>
        <rFont val="Calibri"/>
        <family val="2"/>
        <charset val="238"/>
        <scheme val="minor"/>
      </rPr>
      <t>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 xml:space="preserve"> - variant bez investície:</t>
    </r>
  </si>
  <si>
    <r>
      <t xml:space="preserve">Pojazdokilometry (tys./rok):
</t>
    </r>
    <r>
      <rPr>
        <sz val="11"/>
        <color rgb="FFFF0000"/>
        <rFont val="Calibri"/>
        <family val="2"/>
        <charset val="238"/>
        <scheme val="minor"/>
      </rPr>
      <t>Vozidlové kilometre (tis./rok):</t>
    </r>
  </si>
  <si>
    <r>
      <t xml:space="preserve">Prędkość podróży - stan obecny (km/h)
</t>
    </r>
    <r>
      <rPr>
        <sz val="11"/>
        <color rgb="FFFF0000"/>
        <rFont val="Calibri"/>
        <family val="2"/>
        <charset val="238"/>
        <scheme val="minor"/>
      </rPr>
      <t>Prepravná rýchlosť - variant bez investície (km/h)</t>
    </r>
  </si>
  <si>
    <r>
      <t>1.2. NATĘŻENIE RUCHU - stan projektowany (SDR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1.2. INTENZITA PREMÁVKY - variant s investíciou (PDP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</si>
  <si>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 xml:space="preserve">W wyniki realizacji inwestycji nastąpi zmiana
</t>
    </r>
    <r>
      <rPr>
        <sz val="11"/>
        <color rgb="FFFF0000"/>
        <rFont val="Calibri"/>
        <family val="2"/>
        <charset val="238"/>
        <scheme val="minor"/>
      </rPr>
      <t>V dôsledku realizácie investície dôjde k zmene</t>
    </r>
  </si>
  <si>
    <r>
      <t xml:space="preserve">SDR o:
</t>
    </r>
    <r>
      <rPr>
        <sz val="11"/>
        <color rgb="FFFF0000"/>
        <rFont val="Calibri"/>
        <family val="2"/>
        <charset val="238"/>
        <scheme val="minor"/>
      </rPr>
      <t>PDIP o:</t>
    </r>
  </si>
  <si>
    <r>
      <t>SDR - stan projektowany (SDR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):
</t>
    </r>
    <r>
      <rPr>
        <b/>
        <sz val="11"/>
        <color rgb="FFFF0000"/>
        <rFont val="Calibri"/>
        <family val="2"/>
        <charset val="238"/>
        <scheme val="minor"/>
      </rPr>
      <t>PDP variant s investíciou (PDP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):</t>
    </r>
  </si>
  <si>
    <r>
      <t xml:space="preserve">Prędkość podróży - stan projektowany (km/h)
</t>
    </r>
    <r>
      <rPr>
        <sz val="11"/>
        <color rgb="FFFF0000"/>
        <rFont val="Calibri"/>
        <family val="2"/>
        <charset val="238"/>
        <scheme val="minor"/>
      </rPr>
      <t>Prepravná rýchlosť - variant s investíciou (km/h)</t>
    </r>
  </si>
  <si>
    <r>
      <t>2.1. KOSZTY EKSPLOATACJI POJAZDÓW - stan obecny (KEP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2.1. PREVÁDZKOVÉ NÁKLADY VOZIDIEL  - variant bez investície (PNV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</si>
  <si>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Koszty jednostkowe (</t>
    </r>
    <r>
      <rPr>
        <sz val="11"/>
        <rFont val="Calibri"/>
        <family val="2"/>
        <charset val="238"/>
      </rPr>
      <t>€</t>
    </r>
    <r>
      <rPr>
        <sz val="11"/>
        <rFont val="Calibri"/>
        <family val="2"/>
        <charset val="238"/>
        <scheme val="minor"/>
      </rPr>
      <t xml:space="preserve">/km) według stanu technicznego drogi:
</t>
    </r>
    <r>
      <rPr>
        <sz val="11"/>
        <color rgb="FFFF0000"/>
        <rFont val="Calibri"/>
        <family val="2"/>
        <charset val="238"/>
        <scheme val="minor"/>
      </rPr>
      <t>Jednotkové prevádzkové náklady (€/km)  v závislosti od technického stavu cesty:</t>
    </r>
  </si>
  <si>
    <r>
      <t>2.2. KOSZTY EKSPLOATACJI POJAZDÓW - stan projektowany (KEP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2.2. PREVÁDZKOVÉ NÁKLADY VOZIDIEL  - variant s investíciou (PNV1)</t>
    </r>
  </si>
  <si>
    <r>
      <t>3.1. KOSZTY CZASU PASAŻERÓW - stan obecny (KP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3.1. NÁKLADY SPOJENÉ S ČASOM PREPRAVY – OSOBNÁ DOPRAVA  - variant bez investície (NCO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</si>
  <si>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3.2. KOSZTY CZASU PASAŻERÓW - stan projektowany (KP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3.2. NÁKLADY SPOJENÉ S ČASOM PREPRAVY – OSOBNÁ DOPRAVA  - variant s investíciou (NCO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</si>
  <si>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4.1. KOSZTY CZASU W PRZEWOZACH TOWAROWYCH - stan obecny (KPT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4.1. NÁKLADY SPOJENÉ S ČASOM PREPRAVY – NÁKLADNÁ DOPRAVA - variant bez investície (NCN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</si>
  <si>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Koszty jednostkowe w przewozach towarowych
J</t>
    </r>
    <r>
      <rPr>
        <sz val="11"/>
        <color rgb="FFFF0000"/>
        <rFont val="Calibri"/>
        <family val="2"/>
        <charset val="238"/>
        <scheme val="minor"/>
      </rPr>
      <t>ednotkové náklady spojené s časom prepravy v nákladnej doprave</t>
    </r>
  </si>
  <si>
    <r>
      <t>4.2. KOSZTY CZASU W PRZEWOZACH TOWAROWYCH - stan projektowany (KPT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4.2. NÁKLADY SPOJENÉ S ČASOM PREPRAVY – NÁKLADNÁ DOPRAVA - variant s investíciou (NCN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</si>
  <si>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5.1. KOSZTY WYPADKÓW DROGOWYCH - stan obecny (KW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5.1. NÁKLADY SPOJENÉ S NEHODAMI -  variant bez investície (NSN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</si>
  <si>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 xml:space="preserve">- przeszkody przy krawędzi, punktowe zawężenia
</t>
    </r>
    <r>
      <rPr>
        <sz val="11"/>
        <color rgb="FFFF0000"/>
        <rFont val="Calibri"/>
        <family val="2"/>
        <charset val="238"/>
        <scheme val="minor"/>
      </rPr>
      <t>- bočné prekážky pri krajnici, zúžené miesta</t>
    </r>
  </si>
  <si>
    <r>
      <t xml:space="preserve">SDR
</t>
    </r>
    <r>
      <rPr>
        <sz val="11"/>
        <color rgb="FFFF0000"/>
        <rFont val="Calibri"/>
        <family val="2"/>
        <charset val="238"/>
        <scheme val="minor"/>
      </rPr>
      <t>PDIP</t>
    </r>
  </si>
  <si>
    <r>
      <t>5.2. KOSZTY WYPADKÓW DROGOWYCH - stan projektowany (KW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5.2. NÁKLADY SPOJENÉ S NEHODAMI -  variant s investíciou (NSN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</si>
  <si>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 xml:space="preserve">Razem mnożniki:
</t>
    </r>
    <r>
      <rPr>
        <sz val="11"/>
        <color rgb="FFFF0000"/>
        <rFont val="Calibri"/>
        <family val="2"/>
        <charset val="238"/>
        <scheme val="minor"/>
      </rPr>
      <t>Celkom multiplikátory:</t>
    </r>
  </si>
  <si>
    <r>
      <t>6.1. KOSZTY EMISJI ZANIECZYSZCZEŃ I HAŁASU - stan obecny (KE</t>
    </r>
    <r>
      <rPr>
        <b/>
        <vertAlign val="subscript"/>
        <sz val="11"/>
        <rFont val="Calibri"/>
        <family val="2"/>
        <charset val="238"/>
        <scheme val="minor"/>
      </rPr>
      <t>0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6.1. NÁKLADY SPOJENÉ S EMISIOU SPALÍN A HLUKU -  variant bez investície (NSE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0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</si>
  <si>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>6.2. KOSZTY EMISJI ZANIECZYSZCZEŃ - stan projektowany (KE</t>
    </r>
    <r>
      <rPr>
        <b/>
        <vertAlign val="sub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)
</t>
    </r>
    <r>
      <rPr>
        <b/>
        <sz val="11"/>
        <color rgb="FFFF0000"/>
        <rFont val="Calibri"/>
        <family val="2"/>
        <charset val="238"/>
        <scheme val="minor"/>
      </rPr>
      <t>6.2. NÁKLADY SPOJENÉ S EMISIOU SPALÍN -  variant s investíciou (NSE</t>
    </r>
    <r>
      <rPr>
        <b/>
        <vertAlign val="subscript"/>
        <sz val="11"/>
        <color rgb="FFFF0000"/>
        <rFont val="Calibri"/>
        <family val="2"/>
        <charset val="238"/>
        <scheme val="minor"/>
      </rPr>
      <t>1</t>
    </r>
    <r>
      <rPr>
        <b/>
        <sz val="11"/>
        <color rgb="FFFF0000"/>
        <rFont val="Calibri"/>
        <family val="2"/>
        <charset val="238"/>
        <scheme val="minor"/>
      </rPr>
      <t>)</t>
    </r>
  </si>
  <si>
    <r>
      <t xml:space="preserve">ANALIZA EKONOMICZNA INWESTYCJI:
</t>
    </r>
    <r>
      <rPr>
        <b/>
        <sz val="11"/>
        <color rgb="FFFF0000"/>
        <rFont val="Calibri"/>
        <family val="2"/>
        <charset val="238"/>
        <scheme val="minor"/>
      </rPr>
      <t>EKONOMICKÁ ANALÝZA INVESTÍCIE:</t>
    </r>
  </si>
  <si>
    <r>
      <t xml:space="preserve">- inne podatki
</t>
    </r>
    <r>
      <rPr>
        <sz val="11"/>
        <color rgb="FFFF0000"/>
        <rFont val="Calibri"/>
        <family val="2"/>
        <charset val="238"/>
        <scheme val="minor"/>
      </rPr>
      <t xml:space="preserve">- iné dane </t>
    </r>
  </si>
  <si>
    <r>
      <t xml:space="preserve">Przychody netto:
</t>
    </r>
    <r>
      <rPr>
        <b/>
        <sz val="11"/>
        <color rgb="FFFF0000"/>
        <rFont val="Calibri"/>
        <family val="2"/>
        <charset val="238"/>
        <scheme val="minor"/>
      </rPr>
      <t>Príjmy (netto):</t>
    </r>
  </si>
  <si>
    <r>
      <t xml:space="preserve">Koszty netto:
</t>
    </r>
    <r>
      <rPr>
        <b/>
        <sz val="11"/>
        <color rgb="FFFF0000"/>
        <rFont val="Calibri"/>
        <family val="2"/>
        <charset val="238"/>
        <scheme val="minor"/>
      </rPr>
      <t>Náklady (netto):</t>
    </r>
  </si>
  <si>
    <r>
      <t xml:space="preserve">Zdyskontowana ekonomiczna wartość netto (ENPV):
</t>
    </r>
    <r>
      <rPr>
        <b/>
        <sz val="11"/>
        <color rgb="FFFF0000"/>
        <rFont val="Calibri"/>
        <family val="2"/>
        <charset val="238"/>
        <scheme val="minor"/>
      </rPr>
      <t>Diskontovaná ekonomická  hodnota netto (ENPV):</t>
    </r>
  </si>
  <si>
    <r>
      <t xml:space="preserve">4.1. Wskaźnik korzyści / koszty (B/C)
</t>
    </r>
    <r>
      <rPr>
        <b/>
        <sz val="11"/>
        <color rgb="FFFF0000"/>
        <rFont val="Calibri"/>
        <family val="2"/>
        <charset val="238"/>
        <scheme val="minor"/>
      </rPr>
      <t>4.1. Ukazovateľ prínosov / nákladov investície (B/C)</t>
    </r>
  </si>
  <si>
    <r>
      <t xml:space="preserve">Koszty ekonomiczne inwestycji:
</t>
    </r>
    <r>
      <rPr>
        <b/>
        <sz val="11"/>
        <color rgb="FFFF0000"/>
        <rFont val="Calibri"/>
        <family val="2"/>
        <charset val="238"/>
        <scheme val="minor"/>
      </rPr>
      <t>Ekonomické náklady investície:</t>
    </r>
  </si>
  <si>
    <t>- So / Ov</t>
  </si>
  <si>
    <t>- Sd  / Dv</t>
  </si>
  <si>
    <t>- Sc / Nvb</t>
  </si>
  <si>
    <t>- Scp / Nvp</t>
  </si>
  <si>
    <t>- A / A</t>
  </si>
  <si>
    <t>pon. 30 km/h</t>
  </si>
  <si>
    <t>30-40 km/h</t>
  </si>
  <si>
    <t>40-50 km/h</t>
  </si>
  <si>
    <t>50-60 km/h</t>
  </si>
  <si>
    <t>60-70 km/h</t>
  </si>
  <si>
    <t>pow. 70 km/h</t>
  </si>
  <si>
    <t>stan techniczny</t>
  </si>
  <si>
    <t>W0</t>
  </si>
  <si>
    <t>W1</t>
  </si>
  <si>
    <t>eur/1000 poj. km
eur/1000 voz.km</t>
  </si>
  <si>
    <t>Prędkość podróży (km/h)
Prepravná rýchlosť (km/h)</t>
  </si>
  <si>
    <t>Vo výpočtovom hárku treba uviesť  výpočet, ktorý tvoril základ odhadu dopytu a jednotkových cien jednotlivých typov služieb, prenájmu a predaja.  Metóda odhadu a analýzy týchto hodnôt prináleží žiadateľovi / analytikovi, ktorý pripravuje štúdiu uskutočniteľnosti daného projektu.</t>
  </si>
  <si>
    <r>
      <t xml:space="preserve">Koszty utrzymania - stan obecny:
</t>
    </r>
    <r>
      <rPr>
        <sz val="11"/>
        <color rgb="FFFF0000"/>
        <rFont val="Calibri"/>
        <family val="2"/>
        <charset val="238"/>
        <scheme val="minor"/>
      </rPr>
      <t>Náklady na údržbu  - variant bez investície:</t>
    </r>
  </si>
  <si>
    <r>
      <t xml:space="preserve">4.2. Koszty utrzymania drogowego - stan projektowany
</t>
    </r>
    <r>
      <rPr>
        <b/>
        <u/>
        <sz val="11"/>
        <color rgb="FFFF0000"/>
        <rFont val="Calibri"/>
        <family val="2"/>
        <charset val="238"/>
        <scheme val="minor"/>
      </rPr>
      <t>4.2. Náklady na údržbu ciest - variant s investíciou</t>
    </r>
  </si>
  <si>
    <r>
      <t xml:space="preserve">Koszty utrzymania - stan projektowany:
</t>
    </r>
    <r>
      <rPr>
        <sz val="11"/>
        <color rgb="FFFF0000"/>
        <rFont val="Calibri"/>
        <family val="2"/>
        <charset val="238"/>
        <scheme val="minor"/>
      </rPr>
      <t>Náklady na údržbu  - variant s investíciou:</t>
    </r>
  </si>
  <si>
    <r>
      <t xml:space="preserve">4.3. Koszty utrzymania drogowego - wartości różnicowe:
</t>
    </r>
    <r>
      <rPr>
        <b/>
        <u/>
        <sz val="11"/>
        <color rgb="FFFF0000"/>
        <rFont val="Calibri"/>
        <family val="2"/>
        <charset val="238"/>
        <scheme val="minor"/>
      </rPr>
      <t>4.3. Náklady na údržbu ciest - hodnoty rozdielov:</t>
    </r>
  </si>
  <si>
    <r>
      <t>Koszty utrzymania drogi (W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-W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):
</t>
    </r>
    <r>
      <rPr>
        <sz val="11"/>
        <color rgb="FFFF0000"/>
        <rFont val="Calibri"/>
        <family val="2"/>
        <charset val="238"/>
        <scheme val="minor"/>
      </rPr>
      <t>Náklady na údržbu ciest (V</t>
    </r>
    <r>
      <rPr>
        <vertAlign val="subscript"/>
        <sz val="11"/>
        <color rgb="FFFF0000"/>
        <rFont val="Calibri"/>
        <family val="2"/>
        <charset val="238"/>
        <scheme val="minor"/>
      </rPr>
      <t>1</t>
    </r>
    <r>
      <rPr>
        <sz val="11"/>
        <color rgb="FFFF0000"/>
        <rFont val="Calibri"/>
        <family val="2"/>
        <charset val="238"/>
        <scheme val="minor"/>
      </rPr>
      <t>-V</t>
    </r>
    <r>
      <rPr>
        <vertAlign val="subscript"/>
        <sz val="11"/>
        <color rgb="FFFF0000"/>
        <rFont val="Calibri"/>
        <family val="2"/>
        <charset val="238"/>
        <scheme val="minor"/>
      </rPr>
      <t>0</t>
    </r>
    <r>
      <rPr>
        <sz val="11"/>
        <color rgb="FFFF0000"/>
        <rFont val="Calibri"/>
        <family val="2"/>
        <charset val="238"/>
        <scheme val="minor"/>
      </rPr>
      <t>):</t>
    </r>
  </si>
  <si>
    <r>
      <t xml:space="preserve">Koszty jednostkowe utrzymania (roczne, po inwestycji):
</t>
    </r>
    <r>
      <rPr>
        <sz val="11"/>
        <color rgb="FFFF0000"/>
        <rFont val="Calibri"/>
        <family val="2"/>
        <charset val="238"/>
        <scheme val="minor"/>
      </rPr>
      <t>Jednotkové náklady na údržbu (ročné, po investícii):</t>
    </r>
  </si>
  <si>
    <r>
      <t xml:space="preserve">Koszty jednostkowe utrzymania (roczne, bez inwestycji):
</t>
    </r>
    <r>
      <rPr>
        <sz val="11"/>
        <color rgb="FFFF0000"/>
        <rFont val="Calibri"/>
        <family val="2"/>
        <charset val="238"/>
        <scheme val="minor"/>
      </rPr>
      <t>Jednotkové náklady na údržbu (ročné, bez investícií):</t>
    </r>
  </si>
  <si>
    <r>
      <t xml:space="preserve">- materiały i energia
</t>
    </r>
    <r>
      <rPr>
        <sz val="11"/>
        <color rgb="FFFF0000"/>
        <rFont val="Calibri"/>
        <family val="2"/>
        <charset val="238"/>
        <scheme val="minor"/>
      </rPr>
      <t>- náklady na materiál a energie</t>
    </r>
  </si>
  <si>
    <t>Vo výpočtovom hárku treba uviesť výpočet, ktorý tvoril základ odhadu hodnoty jednotkových nákladov každej kategórie a v odôvodnených prípadoch, môžete zmeniť frekvenciu opráv. Odhad týchto hodnôt prináleží žiadateľovi / analytikovi, ktorý pripravuje štúdiu uskutočniteľnosti daného projektu.</t>
  </si>
  <si>
    <r>
      <t xml:space="preserve">Przychody (art. 61 Rozporządzenia nr 1303/2014):
</t>
    </r>
    <r>
      <rPr>
        <sz val="11"/>
        <color rgb="FFFF0000"/>
        <rFont val="Calibri"/>
        <family val="2"/>
        <charset val="238"/>
        <scheme val="minor"/>
      </rPr>
      <t>Príjmy (článok 61 nariadenia (EÚ) č. 1303/2013):</t>
    </r>
  </si>
  <si>
    <r>
      <t xml:space="preserve">Koszty jednostkowe czasu pasażerów
</t>
    </r>
    <r>
      <rPr>
        <sz val="11"/>
        <color rgb="FFFF0000"/>
        <rFont val="Calibri"/>
        <family val="2"/>
        <charset val="238"/>
        <scheme val="minor"/>
      </rPr>
      <t>Jednotkové náklady spojené s časom prepravy cestujúcich</t>
    </r>
  </si>
  <si>
    <t>Vo výpočtovom hárku treba uviesť  výpočet,  ktorý tvoril základ odhadu "zúčtovacích cien" pri každej kategórii.  Odhad hodnoty a analýza týchto hodnôt prináleží žiadateľovi / analytikovi, ktorý pripravuje štúdiu uskutočniteľnosti daného projektu.</t>
  </si>
  <si>
    <r>
      <t xml:space="preserve">Potencjalny dochód - wartość rezydualna:
</t>
    </r>
    <r>
      <rPr>
        <sz val="11"/>
        <color rgb="FFFF0000"/>
        <rFont val="Calibri"/>
        <family val="2"/>
        <charset val="238"/>
        <scheme val="minor"/>
      </rPr>
      <t>Potenciálny príjem - zostatková hodnota:</t>
    </r>
  </si>
  <si>
    <r>
      <t xml:space="preserve">Zdyskontowany dochód netto:
</t>
    </r>
    <r>
      <rPr>
        <sz val="11"/>
        <color rgb="FFFF0000"/>
        <rFont val="Calibri"/>
        <family val="2"/>
        <charset val="238"/>
        <scheme val="minor"/>
      </rPr>
      <t>Diskontovaný čistý príjem: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</si>
  <si>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Účasť ostatných národných prostriedkov z verejných a súkromných zdrojov:</t>
    </r>
  </si>
  <si>
    <r>
      <t xml:space="preserve">Stopa amortyzacji:
</t>
    </r>
    <r>
      <rPr>
        <sz val="11"/>
        <color rgb="FFFF0000"/>
        <rFont val="Calibri"/>
        <family val="2"/>
        <charset val="238"/>
        <scheme val="minor"/>
      </rPr>
      <t>Odpisová sadzba:</t>
    </r>
  </si>
  <si>
    <t>FRR/C:</t>
  </si>
  <si>
    <r>
      <t xml:space="preserve">3. Obliczenie FRR/C:
</t>
    </r>
    <r>
      <rPr>
        <b/>
        <u/>
        <sz val="11"/>
        <color rgb="FFFF0000"/>
        <rFont val="Calibri"/>
        <family val="2"/>
        <charset val="238"/>
        <scheme val="minor"/>
      </rPr>
      <t>3. Kalkulácie FRR/C:</t>
    </r>
  </si>
  <si>
    <r>
      <t xml:space="preserve">4. Obliczenie FRR/K:
</t>
    </r>
    <r>
      <rPr>
        <b/>
        <u/>
        <sz val="11"/>
        <color rgb="FFFF0000"/>
        <rFont val="Calibri"/>
        <family val="2"/>
        <charset val="238"/>
        <scheme val="minor"/>
      </rPr>
      <t>4. Kalkulácie FRR/K:</t>
    </r>
  </si>
  <si>
    <t>FRR/K:</t>
  </si>
  <si>
    <t>FRR/c</t>
  </si>
  <si>
    <r>
      <t xml:space="preserve">Okres analizy: 
</t>
    </r>
    <r>
      <rPr>
        <sz val="11"/>
        <color rgb="FFFF0000"/>
        <rFont val="Calibri"/>
        <family val="2"/>
        <charset val="238"/>
        <scheme val="minor"/>
      </rPr>
      <t>Analyzované obdobie:</t>
    </r>
  </si>
  <si>
    <r>
      <t xml:space="preserve">Maksymalna wielkość współfinansowania określona w ogłoszeniu o konkursie dla danego typu inwestycji:
</t>
    </r>
    <r>
      <rPr>
        <sz val="11"/>
        <color rgb="FFFF0000"/>
        <rFont val="Calibri"/>
        <family val="2"/>
        <charset val="238"/>
        <scheme val="minor"/>
      </rPr>
      <t>Maximálna výška spolufinancovania uvedená pri vyhlásení verejnej súťaže pre daný typ investície:</t>
    </r>
  </si>
  <si>
    <r>
      <t xml:space="preserve">Wskaźnik luki w finansowaniu; R = (DIC-DNR)/DIC
</t>
    </r>
    <r>
      <rPr>
        <sz val="11"/>
        <color rgb="FFFF0000"/>
        <rFont val="Calibri"/>
        <family val="2"/>
        <charset val="238"/>
        <scheme val="minor"/>
      </rPr>
      <t>Koeficient medzery vo financovaní; R = (DIC-DNR)/DIC</t>
    </r>
  </si>
  <si>
    <r>
      <t xml:space="preserve">Wydatki finansowe:
</t>
    </r>
    <r>
      <rPr>
        <sz val="11"/>
        <color rgb="FFFF0000"/>
        <rFont val="Calibri"/>
        <family val="2"/>
        <charset val="238"/>
        <scheme val="minor"/>
      </rPr>
      <t>Finančné výdavky:</t>
    </r>
  </si>
  <si>
    <r>
      <t xml:space="preserve">Udział wydatków operacyjnych inwestycji w wydatkach podmiotu ogółem:
</t>
    </r>
    <r>
      <rPr>
        <sz val="11"/>
        <color rgb="FFFF0000"/>
        <rFont val="Calibri"/>
        <family val="2"/>
        <charset val="238"/>
        <scheme val="minor"/>
      </rPr>
      <t>Podiel prevádzkových výdavkov investície na celkových výdavkoch subjektu:</t>
    </r>
  </si>
  <si>
    <r>
      <t xml:space="preserve">Stan środków pieniężnych na koniec roku:
</t>
    </r>
    <r>
      <rPr>
        <b/>
        <sz val="11"/>
        <color rgb="FFFF0000"/>
        <rFont val="Calibri"/>
        <family val="2"/>
        <charset val="238"/>
        <scheme val="minor"/>
      </rPr>
      <t>Stav peňažných prostriedkov na konci roka:</t>
    </r>
  </si>
  <si>
    <t>Stan środków pieniężnych bez inwestycji:
Stav peňažných prostriedkov bez investície:</t>
  </si>
  <si>
    <r>
      <t xml:space="preserve">1. Korekta fiskalna
</t>
    </r>
    <r>
      <rPr>
        <b/>
        <u/>
        <sz val="11"/>
        <color rgb="FFFF0000"/>
        <rFont val="Calibri"/>
        <family val="2"/>
        <charset val="238"/>
        <scheme val="minor"/>
      </rPr>
      <t>1. Fiškálna korekcia</t>
    </r>
  </si>
  <si>
    <r>
      <t xml:space="preserve">Przepływy finansowe po korekcie fiskalnej
</t>
    </r>
    <r>
      <rPr>
        <b/>
        <sz val="11"/>
        <color rgb="FFFF0000"/>
        <rFont val="Calibri"/>
        <family val="2"/>
        <charset val="238"/>
        <scheme val="minor"/>
      </rPr>
      <t xml:space="preserve">Finančné toky po fiškálnej korekcii </t>
    </r>
  </si>
  <si>
    <r>
      <t xml:space="preserve">2. Korekta cen rynkowych
</t>
    </r>
    <r>
      <rPr>
        <b/>
        <u/>
        <sz val="11"/>
        <color rgb="FFFF0000"/>
        <rFont val="Calibri"/>
        <family val="2"/>
        <charset val="238"/>
        <scheme val="minor"/>
      </rPr>
      <t>2. Korekcia trhových cien</t>
    </r>
  </si>
  <si>
    <r>
      <t xml:space="preserve">Korekta "cen rynkowych" - w zakresie nakładów inwestycyjnych:
</t>
    </r>
    <r>
      <rPr>
        <sz val="11"/>
        <color rgb="FFFF0000"/>
        <rFont val="Calibri"/>
        <family val="2"/>
        <charset val="238"/>
        <scheme val="minor"/>
      </rPr>
      <t>Korekcia "trhových cien" - v rámci investičných nákladov:</t>
    </r>
  </si>
  <si>
    <r>
      <t xml:space="preserve">Korekta "cen rynkowych" - w zakresie kosztów:
</t>
    </r>
    <r>
      <rPr>
        <sz val="11"/>
        <color rgb="FFFF0000"/>
        <rFont val="Calibri"/>
        <family val="2"/>
        <charset val="238"/>
        <scheme val="minor"/>
      </rPr>
      <t>Korekcia "trhových cien" - v rámci nákladov:</t>
    </r>
  </si>
  <si>
    <r>
      <t xml:space="preserve">Lata poniesienia nakładów
</t>
    </r>
    <r>
      <rPr>
        <sz val="11"/>
        <color rgb="FFFF0000"/>
        <rFont val="Calibri"/>
        <family val="2"/>
        <charset val="238"/>
        <scheme val="minor"/>
      </rPr>
      <t>Roky vynaloženia výdavkov</t>
    </r>
  </si>
  <si>
    <r>
      <t xml:space="preserve">Nakłady inwestycyjne:
</t>
    </r>
    <r>
      <rPr>
        <sz val="11"/>
        <color rgb="FFFF0000"/>
        <rFont val="Calibri"/>
        <family val="2"/>
        <charset val="238"/>
        <scheme val="minor"/>
      </rPr>
      <t>Investičné výdavky:</t>
    </r>
  </si>
  <si>
    <r>
      <t xml:space="preserve">nakładów inwestycyjnych:
</t>
    </r>
    <r>
      <rPr>
        <sz val="11"/>
        <color rgb="FFFF0000"/>
        <rFont val="Calibri"/>
        <family val="2"/>
        <charset val="238"/>
        <scheme val="minor"/>
      </rPr>
      <t>investičných výdavkov:</t>
    </r>
  </si>
  <si>
    <r>
      <t xml:space="preserve">5.1. Wrażliwość na zmianę nakładów
</t>
    </r>
    <r>
      <rPr>
        <sz val="11"/>
        <color rgb="FFFF0000"/>
        <rFont val="Calibri"/>
        <family val="2"/>
        <charset val="238"/>
        <scheme val="minor"/>
      </rPr>
      <t>5.1. Citlivosť na zmenu investičných výdavkov</t>
    </r>
  </si>
  <si>
    <r>
      <t xml:space="preserve">wzrost nakładów 
</t>
    </r>
    <r>
      <rPr>
        <sz val="11"/>
        <color rgb="FFFF0000"/>
        <rFont val="Calibri"/>
        <family val="2"/>
        <charset val="238"/>
        <scheme val="minor"/>
      </rPr>
      <t>nárast investičných výdavkov</t>
    </r>
  </si>
  <si>
    <r>
      <t xml:space="preserve">spadek nakładów
</t>
    </r>
    <r>
      <rPr>
        <sz val="11"/>
        <color rgb="FFFF0000"/>
        <rFont val="Calibri"/>
        <family val="2"/>
        <charset val="238"/>
        <scheme val="minor"/>
      </rPr>
      <t>pokles investičných výdavkov</t>
    </r>
  </si>
  <si>
    <r>
      <t xml:space="preserve">Nakłady inwestycyjne (brutto):
</t>
    </r>
    <r>
      <rPr>
        <sz val="11"/>
        <color rgb="FFFF0000"/>
        <rFont val="Calibri"/>
        <family val="2"/>
        <charset val="238"/>
        <scheme val="minor"/>
      </rPr>
      <t>Investičné výdavky (brutto):</t>
    </r>
  </si>
  <si>
    <r>
      <t xml:space="preserve">Nakłady inwestycyjne (netto):
</t>
    </r>
    <r>
      <rPr>
        <b/>
        <sz val="11"/>
        <color rgb="FFFF0000"/>
        <rFont val="Calibri"/>
        <family val="2"/>
        <charset val="238"/>
        <scheme val="minor"/>
      </rPr>
      <t>Investičné výdavky (netto):</t>
    </r>
  </si>
  <si>
    <t>ERR:</t>
  </si>
  <si>
    <r>
      <t xml:space="preserve">Dofinansowanie z Interreg V-A PL-SK (%):
</t>
    </r>
    <r>
      <rPr>
        <sz val="11"/>
        <color rgb="FFFF0000"/>
        <rFont val="Calibri"/>
        <family val="2"/>
        <charset val="238"/>
        <scheme val="minor"/>
      </rPr>
      <t>Miera spolufinancovania z Interreg V-A PL-SK (%):</t>
    </r>
  </si>
  <si>
    <r>
      <t xml:space="preserve">1. Analiza sytuacji finansowej partnera/operatora (przepływy bez inwestycji)
</t>
    </r>
    <r>
      <rPr>
        <b/>
        <u/>
        <sz val="11"/>
        <color rgb="FFFF0000"/>
        <rFont val="Calibri"/>
        <family val="2"/>
        <charset val="238"/>
        <scheme val="minor"/>
      </rPr>
      <t>1. Analýza finančnej situácie partnera / prevádzkovateľa (toky bez investície)</t>
    </r>
  </si>
  <si>
    <r>
      <t xml:space="preserve">Inne krajowe środki publiczne i prywatne:
</t>
    </r>
    <r>
      <rPr>
        <sz val="11"/>
        <color rgb="FFFF0000"/>
        <rFont val="Calibri"/>
        <family val="2"/>
        <charset val="238"/>
        <scheme val="minor"/>
      </rPr>
      <t>Iné národné prostriedky z verejných a súkromných zdrojov:</t>
    </r>
  </si>
  <si>
    <r>
      <t xml:space="preserve">Razem przepływy finansowe: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</si>
  <si>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- dotacje i subwencje publiczne
</t>
    </r>
    <r>
      <rPr>
        <i/>
        <sz val="11"/>
        <color rgb="FFFF0000"/>
        <rFont val="Calibri"/>
        <family val="2"/>
        <charset val="238"/>
        <scheme val="minor"/>
      </rPr>
      <t>-  príspevky a dotácie z verejných zdrojov</t>
    </r>
  </si>
  <si>
    <r>
      <t xml:space="preserve">Razem przepływy pieniężne inwestycji:
</t>
    </r>
    <r>
      <rPr>
        <b/>
        <sz val="11"/>
        <color rgb="FFFF0000"/>
        <rFont val="Calibri"/>
        <family val="2"/>
        <charset val="238"/>
        <scheme val="minor"/>
      </rPr>
      <t>Peňažné toky investície celkom:</t>
    </r>
  </si>
  <si>
    <r>
      <t xml:space="preserve">Razem przepływy pieniężne:
</t>
    </r>
    <r>
      <rPr>
        <b/>
        <sz val="11"/>
        <color rgb="FFFF0000"/>
        <rFont val="Calibri"/>
        <family val="2"/>
        <charset val="238"/>
        <scheme val="minor"/>
      </rPr>
      <t>Peňažné toky celkom:</t>
    </r>
  </si>
  <si>
    <r>
      <t xml:space="preserve">Razem przepływy pieniężne (podmiot z inwestycją):
</t>
    </r>
    <r>
      <rPr>
        <b/>
        <sz val="11"/>
        <color rgb="FFFF0000"/>
        <rFont val="Calibri"/>
        <family val="2"/>
        <charset val="238"/>
        <scheme val="minor"/>
      </rPr>
      <t>Peňažné toky celkom (subjekt s investíciou):</t>
    </r>
  </si>
  <si>
    <r>
      <t xml:space="preserve">Zaciągnięcie kredytu na inwestycję:
</t>
    </r>
    <r>
      <rPr>
        <sz val="11"/>
        <color rgb="FFFF0000"/>
        <rFont val="Calibri"/>
        <family val="2"/>
        <charset val="238"/>
        <scheme val="minor"/>
      </rPr>
      <t>Bankové úvery:</t>
    </r>
  </si>
  <si>
    <t>tak / 
áno</t>
  </si>
  <si>
    <r>
      <t xml:space="preserve">Rok bazowy:
</t>
    </r>
    <r>
      <rPr>
        <sz val="11"/>
        <color rgb="FFFF0000"/>
        <rFont val="Calibri"/>
        <family val="2"/>
        <charset val="238"/>
        <scheme val="minor"/>
      </rPr>
      <t>Základný rok pre analýzu:</t>
    </r>
  </si>
  <si>
    <t>Amortyzacja roczna:
Ročné odpisy:</t>
  </si>
  <si>
    <t>Obliczenia:
Výpočty:</t>
  </si>
  <si>
    <t>obliczenie DIC:
výpočet DIC:</t>
  </si>
  <si>
    <t>suma zdysk.:
súčet disk.:</t>
  </si>
  <si>
    <t>koszty operacyjne (bez oszczędności)
prevádzkové výdavky (bez úsporov)</t>
  </si>
  <si>
    <t>przychody
príjmy</t>
  </si>
  <si>
    <t>oszczędności
úspory</t>
  </si>
  <si>
    <t>wartość rezydualna
zostatková hodnota</t>
  </si>
  <si>
    <t>obliczenie DNR:
kalkulácie DNR:</t>
  </si>
  <si>
    <t>Nakłady inwestycyjne:
Investičné výdavky:</t>
  </si>
  <si>
    <t>Przychody i wr:
Príjmy a zostatkova hodnota:</t>
  </si>
  <si>
    <t>Koszty operacyjne:
Prevádzkové náklady:</t>
  </si>
  <si>
    <t>CF bazowy:
Základné CF:</t>
  </si>
  <si>
    <t>FRR bazowy:
Primárna FRR:</t>
  </si>
  <si>
    <t>lista:
zoznam:</t>
  </si>
  <si>
    <t>wzrost nakładów → CF
nárast investičných výdavkov → CF</t>
  </si>
  <si>
    <t>CF bazowy
Primárny CF</t>
  </si>
  <si>
    <t>spadek nakładów → CF
pokles investičných výdavkov → CF</t>
  </si>
  <si>
    <r>
      <t xml:space="preserve"> </t>
    </r>
    <r>
      <rPr>
        <sz val="11"/>
        <color theme="0"/>
        <rFont val="Calibri"/>
        <family val="2"/>
        <charset val="238"/>
      </rPr>
      <t xml:space="preserve"> wzrost przychodów i wr → CF</t>
    </r>
  </si>
  <si>
    <r>
      <t xml:space="preserve"> </t>
    </r>
    <r>
      <rPr>
        <sz val="11"/>
        <color theme="0"/>
        <rFont val="Calibri"/>
        <family val="2"/>
        <charset val="238"/>
      </rPr>
      <t xml:space="preserve"> spadek przychodów i wr → CF</t>
    </r>
  </si>
  <si>
    <r>
      <t xml:space="preserve">CF </t>
    </r>
    <r>
      <rPr>
        <sz val="11"/>
        <color theme="0"/>
        <rFont val="Calibri"/>
        <family val="2"/>
        <charset val="238"/>
      </rPr>
      <t>→ 20% wzrost kosztów</t>
    </r>
  </si>
  <si>
    <r>
      <t xml:space="preserve">CF </t>
    </r>
    <r>
      <rPr>
        <sz val="11"/>
        <color theme="0"/>
        <rFont val="Calibri"/>
        <family val="2"/>
        <charset val="238"/>
      </rPr>
      <t xml:space="preserve">→ 10% wzrost kosztów </t>
    </r>
  </si>
  <si>
    <r>
      <t xml:space="preserve">CF </t>
    </r>
    <r>
      <rPr>
        <sz val="11"/>
        <color theme="0"/>
        <rFont val="Calibri"/>
        <family val="2"/>
        <charset val="238"/>
      </rPr>
      <t>→ 10% spadek kosztów</t>
    </r>
  </si>
  <si>
    <r>
      <t xml:space="preserve">CF </t>
    </r>
    <r>
      <rPr>
        <sz val="11"/>
        <color theme="0"/>
        <rFont val="Calibri"/>
        <family val="2"/>
        <charset val="238"/>
      </rPr>
      <t>→ 20% spadek kosztów</t>
    </r>
  </si>
  <si>
    <t>Pozitívne hodnoty („+”) znamenajú skrátenie času.</t>
  </si>
  <si>
    <t>Wartości dodatnie („+”) oznaczają skrócenie czasu.</t>
  </si>
  <si>
    <t xml:space="preserve">Wartości dodatnie („+”) oznaczają oszczędności (zmniejszenie) kosztów.
</t>
  </si>
  <si>
    <t>Pozitívne hodnoty („+”) znamenajú pokles nákladov (úspory).</t>
  </si>
  <si>
    <t xml:space="preserve">Wartości dodatnie („+”) oznaczają oszczędności (zmniejszenie) kosztów.
</t>
  </si>
  <si>
    <t>- stan techniczny bardzo dobry.
- veľmi dobrý technický stav.</t>
  </si>
  <si>
    <t>- stan techniczny niezadowalający.
- nevyhovujúci technický stav.</t>
  </si>
  <si>
    <t>- stan techniczny bardzo zły i drogi nieutwardzone.
- veľmi zlý technický stav a nespevnené cesty.</t>
  </si>
  <si>
    <t>W roku planowanego remontu wpisz "1".</t>
  </si>
  <si>
    <t>V roku plánovanej opravy, zadajte "1".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</si>
</sst>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0.0000"/>
    <numFmt numFmtId="166" formatCode="0.0%"/>
    <numFmt numFmtId="167" formatCode="0.0"/>
    <numFmt numFmtId="168" formatCode="0.000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vertAlign val="superscript"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vertAlign val="subscript"/>
      <sz val="1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4" tint="0.3999755851924192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FF0000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2"/>
      <color rgb="FF222222"/>
      <name val="Arial"/>
      <family val="2"/>
      <charset val="238"/>
    </font>
    <font>
      <sz val="11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70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0" fillId="0" borderId="0" xfId="0" applyBorder="1" applyAlignment="1">
      <alignment vertical="center"/>
    </xf>
    <xf numFmtId="0" fontId="4" fillId="0" borderId="0" xfId="0" applyFont="1"/>
    <xf numFmtId="0" fontId="0" fillId="0" borderId="1" xfId="0" applyFill="1" applyBorder="1"/>
    <xf numFmtId="2" fontId="0" fillId="0" borderId="0" xfId="0" applyNumberForma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/>
    <xf numFmtId="2" fontId="0" fillId="0" borderId="1" xfId="0" applyNumberFormat="1" applyFill="1" applyBorder="1"/>
    <xf numFmtId="0" fontId="0" fillId="0" borderId="0" xfId="0" applyAlignment="1">
      <alignment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1" fillId="0" borderId="1" xfId="0" applyFont="1" applyBorder="1" applyAlignment="1">
      <alignment wrapText="1"/>
    </xf>
    <xf numFmtId="1" fontId="9" fillId="0" borderId="0" xfId="0" applyNumberFormat="1" applyFont="1"/>
    <xf numFmtId="2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Border="1"/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0" fillId="0" borderId="1" xfId="0" applyFont="1" applyBorder="1"/>
    <xf numFmtId="0" fontId="0" fillId="0" borderId="0" xfId="0" applyFont="1" applyAlignment="1">
      <alignment horizontal="justify" vertical="center"/>
    </xf>
    <xf numFmtId="0" fontId="1" fillId="0" borderId="1" xfId="0" applyFont="1" applyBorder="1"/>
    <xf numFmtId="0" fontId="1" fillId="0" borderId="1" xfId="0" applyFont="1" applyFill="1" applyBorder="1" applyAlignment="1">
      <alignment horizontal="justify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" fillId="0" borderId="0" xfId="0" applyFont="1" applyFill="1" applyBorder="1" applyAlignment="1">
      <alignment horizontal="justify" vertical="center"/>
    </xf>
    <xf numFmtId="164" fontId="1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right" vertical="center"/>
    </xf>
    <xf numFmtId="0" fontId="4" fillId="0" borderId="0" xfId="0" applyFont="1" applyBorder="1"/>
    <xf numFmtId="10" fontId="0" fillId="0" borderId="6" xfId="0" applyNumberForma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2" fontId="0" fillId="0" borderId="0" xfId="0" applyNumberFormat="1" applyFill="1" applyBorder="1" applyAlignment="1">
      <alignment horizontal="right" vertical="center"/>
    </xf>
    <xf numFmtId="0" fontId="0" fillId="0" borderId="1" xfId="0" quotePrefix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quotePrefix="1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ill="1" applyBorder="1"/>
    <xf numFmtId="0" fontId="2" fillId="0" borderId="0" xfId="0" applyFont="1" applyFill="1" applyAlignment="1">
      <alignment horizontal="left" vertical="center" wrapText="1"/>
    </xf>
    <xf numFmtId="2" fontId="0" fillId="0" borderId="0" xfId="0" applyNumberFormat="1" applyFill="1" applyAlignment="1">
      <alignment horizontal="left" vertical="center"/>
    </xf>
    <xf numFmtId="164" fontId="1" fillId="0" borderId="2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2" fontId="5" fillId="0" borderId="1" xfId="0" applyNumberFormat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14" xfId="0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/>
    <xf numFmtId="0" fontId="5" fillId="0" borderId="0" xfId="0" applyFont="1"/>
    <xf numFmtId="0" fontId="9" fillId="0" borderId="0" xfId="0" applyFont="1"/>
    <xf numFmtId="10" fontId="1" fillId="0" borderId="0" xfId="1" applyNumberFormat="1" applyFont="1" applyBorder="1"/>
    <xf numFmtId="0" fontId="1" fillId="0" borderId="5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quotePrefix="1" applyFont="1" applyFill="1" applyBorder="1" applyAlignment="1">
      <alignment wrapText="1"/>
    </xf>
    <xf numFmtId="0" fontId="1" fillId="8" borderId="1" xfId="0" quotePrefix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quotePrefix="1" applyFont="1" applyFill="1" applyBorder="1" applyAlignment="1">
      <alignment wrapText="1"/>
    </xf>
    <xf numFmtId="2" fontId="5" fillId="0" borderId="0" xfId="0" applyNumberFormat="1" applyFont="1"/>
    <xf numFmtId="9" fontId="5" fillId="0" borderId="0" xfId="0" applyNumberFormat="1" applyFont="1"/>
    <xf numFmtId="1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9" fontId="9" fillId="0" borderId="0" xfId="0" applyNumberFormat="1" applyFont="1"/>
    <xf numFmtId="0" fontId="13" fillId="0" borderId="1" xfId="0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9" fontId="2" fillId="0" borderId="0" xfId="0" applyNumberFormat="1" applyFont="1"/>
    <xf numFmtId="9" fontId="5" fillId="0" borderId="0" xfId="0" applyNumberFormat="1" applyFont="1" applyFill="1" applyBorder="1"/>
    <xf numFmtId="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10" fontId="5" fillId="0" borderId="0" xfId="1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9" fontId="5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2" fontId="0" fillId="0" borderId="8" xfId="0" applyNumberFormat="1" applyBorder="1"/>
    <xf numFmtId="0" fontId="0" fillId="0" borderId="3" xfId="0" applyBorder="1"/>
    <xf numFmtId="2" fontId="0" fillId="0" borderId="3" xfId="0" applyNumberFormat="1" applyBorder="1"/>
    <xf numFmtId="2" fontId="1" fillId="0" borderId="5" xfId="0" applyNumberFormat="1" applyFont="1" applyBorder="1"/>
    <xf numFmtId="0" fontId="0" fillId="0" borderId="15" xfId="0" quotePrefix="1" applyFont="1" applyBorder="1" applyAlignment="1">
      <alignment wrapText="1"/>
    </xf>
    <xf numFmtId="2" fontId="3" fillId="0" borderId="15" xfId="0" applyNumberFormat="1" applyFont="1" applyFill="1" applyBorder="1"/>
    <xf numFmtId="0" fontId="1" fillId="0" borderId="6" xfId="0" applyFont="1" applyBorder="1" applyAlignment="1">
      <alignment wrapText="1"/>
    </xf>
    <xf numFmtId="2" fontId="0" fillId="0" borderId="0" xfId="0" applyNumberFormat="1" applyBorder="1" applyAlignment="1">
      <alignment horizontal="right" vertical="center"/>
    </xf>
    <xf numFmtId="0" fontId="1" fillId="0" borderId="1" xfId="0" quotePrefix="1" applyFont="1" applyFill="1" applyBorder="1" applyAlignment="1">
      <alignment wrapText="1"/>
    </xf>
    <xf numFmtId="2" fontId="1" fillId="0" borderId="1" xfId="0" applyNumberFormat="1" applyFont="1" applyFill="1" applyBorder="1" applyAlignment="1">
      <alignment vertical="center"/>
    </xf>
    <xf numFmtId="0" fontId="0" fillId="2" borderId="1" xfId="0" quotePrefix="1" applyFill="1" applyBorder="1" applyAlignment="1">
      <alignment wrapText="1"/>
    </xf>
    <xf numFmtId="0" fontId="1" fillId="0" borderId="0" xfId="0" quotePrefix="1" applyFont="1" applyFill="1" applyBorder="1" applyAlignment="1">
      <alignment wrapText="1"/>
    </xf>
    <xf numFmtId="2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/>
    <xf numFmtId="0" fontId="0" fillId="0" borderId="1" xfId="0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/>
    <xf numFmtId="165" fontId="0" fillId="0" borderId="1" xfId="0" applyNumberFormat="1" applyFont="1" applyBorder="1"/>
    <xf numFmtId="0" fontId="0" fillId="0" borderId="0" xfId="0" applyFont="1" applyBorder="1"/>
    <xf numFmtId="165" fontId="0" fillId="0" borderId="0" xfId="0" applyNumberFormat="1" applyFont="1" applyBorder="1"/>
    <xf numFmtId="0" fontId="0" fillId="0" borderId="0" xfId="0" quotePrefix="1" applyFont="1"/>
    <xf numFmtId="0" fontId="4" fillId="0" borderId="0" xfId="0" applyFont="1" applyFill="1" applyBorder="1" applyAlignment="1">
      <alignment vertical="center"/>
    </xf>
    <xf numFmtId="0" fontId="0" fillId="0" borderId="2" xfId="0" applyFill="1" applyBorder="1" applyAlignment="1"/>
    <xf numFmtId="0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6" borderId="0" xfId="0" applyFill="1" applyAlignment="1">
      <alignment vertical="center"/>
    </xf>
    <xf numFmtId="0" fontId="1" fillId="4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5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1" fillId="0" borderId="16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wrapText="1"/>
    </xf>
    <xf numFmtId="0" fontId="8" fillId="2" borderId="1" xfId="0" quotePrefix="1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17" fillId="0" borderId="0" xfId="1" applyNumberFormat="1" applyFont="1" applyFill="1" applyBorder="1"/>
    <xf numFmtId="2" fontId="5" fillId="0" borderId="0" xfId="1" applyNumberFormat="1" applyFont="1" applyFill="1" applyBorder="1"/>
    <xf numFmtId="0" fontId="5" fillId="0" borderId="0" xfId="0" quotePrefix="1" applyFont="1" applyFill="1" applyBorder="1"/>
    <xf numFmtId="2" fontId="5" fillId="0" borderId="5" xfId="1" applyNumberFormat="1" applyFont="1" applyFill="1" applyBorder="1" applyAlignment="1">
      <alignment horizontal="right" vertical="center"/>
    </xf>
    <xf numFmtId="0" fontId="2" fillId="0" borderId="0" xfId="0" quotePrefix="1" applyFont="1"/>
    <xf numFmtId="0" fontId="5" fillId="0" borderId="1" xfId="0" applyNumberFormat="1" applyFont="1" applyFill="1" applyBorder="1"/>
    <xf numFmtId="167" fontId="5" fillId="0" borderId="1" xfId="1" applyNumberFormat="1" applyFont="1" applyFill="1" applyBorder="1"/>
    <xf numFmtId="1" fontId="5" fillId="0" borderId="1" xfId="1" applyNumberFormat="1" applyFont="1" applyFill="1" applyBorder="1"/>
    <xf numFmtId="0" fontId="2" fillId="0" borderId="0" xfId="0" applyFont="1" applyAlignment="1">
      <alignment horizontal="center" vertical="center"/>
    </xf>
    <xf numFmtId="2" fontId="19" fillId="0" borderId="1" xfId="0" applyNumberFormat="1" applyFont="1" applyBorder="1" applyAlignment="1">
      <alignment horizontal="right" vertical="center"/>
    </xf>
    <xf numFmtId="167" fontId="10" fillId="0" borderId="1" xfId="1" applyNumberFormat="1" applyFont="1" applyFill="1" applyBorder="1"/>
    <xf numFmtId="0" fontId="0" fillId="0" borderId="0" xfId="0" applyFill="1" applyBorder="1" applyAlignment="1"/>
    <xf numFmtId="1" fontId="1" fillId="0" borderId="1" xfId="0" applyNumberFormat="1" applyFont="1" applyBorder="1"/>
    <xf numFmtId="1" fontId="1" fillId="0" borderId="0" xfId="0" applyNumberFormat="1" applyFont="1" applyBorder="1"/>
    <xf numFmtId="1" fontId="0" fillId="0" borderId="1" xfId="0" applyNumberFormat="1" applyFont="1" applyBorder="1"/>
    <xf numFmtId="2" fontId="20" fillId="0" borderId="1" xfId="0" applyNumberFormat="1" applyFont="1" applyBorder="1" applyAlignment="1">
      <alignment horizontal="right" vertical="center" wrapText="1"/>
    </xf>
    <xf numFmtId="2" fontId="21" fillId="0" borderId="1" xfId="0" applyNumberFormat="1" applyFont="1" applyBorder="1" applyAlignment="1">
      <alignment horizontal="right" vertical="center" wrapText="1"/>
    </xf>
    <xf numFmtId="0" fontId="21" fillId="3" borderId="3" xfId="0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0" fontId="21" fillId="5" borderId="3" xfId="0" applyFont="1" applyFill="1" applyBorder="1" applyAlignment="1">
      <alignment horizontal="right" vertical="center" wrapText="1"/>
    </xf>
    <xf numFmtId="2" fontId="20" fillId="0" borderId="6" xfId="0" applyNumberFormat="1" applyFont="1" applyBorder="1" applyAlignment="1">
      <alignment horizontal="right" vertical="center" wrapText="1"/>
    </xf>
    <xf numFmtId="0" fontId="21" fillId="7" borderId="3" xfId="0" applyFont="1" applyFill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 vertical="center"/>
    </xf>
    <xf numFmtId="2" fontId="20" fillId="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right" vertical="center"/>
    </xf>
    <xf numFmtId="2" fontId="20" fillId="0" borderId="5" xfId="0" applyNumberFormat="1" applyFont="1" applyFill="1" applyBorder="1" applyAlignment="1">
      <alignment horizontal="right" vertical="center"/>
    </xf>
    <xf numFmtId="2" fontId="20" fillId="0" borderId="6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right" vertical="center" wrapText="1"/>
    </xf>
    <xf numFmtId="2" fontId="21" fillId="0" borderId="13" xfId="0" applyNumberFormat="1" applyFont="1" applyFill="1" applyBorder="1" applyAlignment="1">
      <alignment horizontal="right" vertical="center"/>
    </xf>
    <xf numFmtId="2" fontId="20" fillId="0" borderId="1" xfId="0" applyNumberFormat="1" applyFont="1" applyFill="1" applyBorder="1" applyAlignment="1">
      <alignment horizontal="right" vertical="center" wrapText="1"/>
    </xf>
    <xf numFmtId="1" fontId="22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5" fillId="0" borderId="1" xfId="0" quotePrefix="1" applyNumberFormat="1" applyFont="1" applyFill="1" applyBorder="1" applyAlignment="1">
      <alignment horizontal="center" vertical="center"/>
    </xf>
    <xf numFmtId="1" fontId="0" fillId="0" borderId="0" xfId="0" applyNumberFormat="1" applyFont="1"/>
    <xf numFmtId="0" fontId="5" fillId="0" borderId="0" xfId="0" applyFont="1" applyFill="1" applyBorder="1" applyAlignment="1">
      <alignment horizontal="left"/>
    </xf>
    <xf numFmtId="2" fontId="0" fillId="0" borderId="1" xfId="0" applyNumberFormat="1" applyFont="1" applyBorder="1"/>
    <xf numFmtId="0" fontId="10" fillId="0" borderId="0" xfId="0" applyFont="1" applyFill="1" applyBorder="1"/>
    <xf numFmtId="1" fontId="5" fillId="0" borderId="0" xfId="0" applyNumberFormat="1" applyFont="1" applyFill="1" applyBorder="1"/>
    <xf numFmtId="0" fontId="0" fillId="0" borderId="1" xfId="0" applyFill="1" applyBorder="1" applyAlignment="1">
      <alignment horizontal="right" vertical="center"/>
    </xf>
    <xf numFmtId="2" fontId="5" fillId="0" borderId="1" xfId="1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2" fontId="1" fillId="0" borderId="6" xfId="0" applyNumberFormat="1" applyFont="1" applyBorder="1"/>
    <xf numFmtId="2" fontId="0" fillId="0" borderId="0" xfId="0" applyNumberForma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/>
    <xf numFmtId="2" fontId="10" fillId="0" borderId="1" xfId="0" applyNumberFormat="1" applyFont="1" applyFill="1" applyBorder="1"/>
    <xf numFmtId="168" fontId="0" fillId="0" borderId="1" xfId="0" applyNumberForma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8" fontId="5" fillId="0" borderId="2" xfId="0" applyNumberFormat="1" applyFont="1" applyFill="1" applyBorder="1"/>
    <xf numFmtId="168" fontId="5" fillId="0" borderId="3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/>
    <xf numFmtId="0" fontId="5" fillId="0" borderId="1" xfId="0" applyFont="1" applyFill="1" applyBorder="1" applyAlignment="1">
      <alignment horizontal="center" wrapText="1"/>
    </xf>
    <xf numFmtId="167" fontId="0" fillId="0" borderId="1" xfId="0" applyNumberFormat="1" applyFont="1" applyFill="1" applyBorder="1"/>
    <xf numFmtId="2" fontId="0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/>
    <xf numFmtId="2" fontId="20" fillId="0" borderId="1" xfId="0" applyNumberFormat="1" applyFont="1" applyBorder="1"/>
    <xf numFmtId="2" fontId="10" fillId="0" borderId="0" xfId="0" applyNumberFormat="1" applyFont="1" applyFill="1" applyBorder="1"/>
    <xf numFmtId="0" fontId="0" fillId="0" borderId="1" xfId="0" applyBorder="1" applyAlignment="1">
      <alignment horizontal="center"/>
    </xf>
    <xf numFmtId="2" fontId="0" fillId="0" borderId="1" xfId="0" quotePrefix="1" applyNumberFormat="1" applyFill="1" applyBorder="1" applyAlignment="1"/>
    <xf numFmtId="2" fontId="27" fillId="0" borderId="1" xfId="0" applyNumberFormat="1" applyFont="1" applyBorder="1"/>
    <xf numFmtId="2" fontId="19" fillId="0" borderId="4" xfId="0" applyNumberFormat="1" applyFont="1" applyBorder="1" applyAlignment="1">
      <alignment horizontal="right" vertical="center"/>
    </xf>
    <xf numFmtId="2" fontId="19" fillId="0" borderId="5" xfId="0" applyNumberFormat="1" applyFont="1" applyBorder="1" applyAlignment="1">
      <alignment horizontal="right" vertical="center"/>
    </xf>
    <xf numFmtId="2" fontId="19" fillId="0" borderId="6" xfId="0" applyNumberFormat="1" applyFont="1" applyBorder="1" applyAlignment="1">
      <alignment horizontal="right" vertical="center"/>
    </xf>
    <xf numFmtId="2" fontId="19" fillId="0" borderId="2" xfId="0" applyNumberFormat="1" applyFont="1" applyBorder="1" applyAlignment="1">
      <alignment horizontal="right" vertical="center"/>
    </xf>
    <xf numFmtId="2" fontId="19" fillId="0" borderId="3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2" fontId="28" fillId="0" borderId="0" xfId="0" applyNumberFormat="1" applyFont="1" applyAlignment="1">
      <alignment horizontal="left"/>
    </xf>
    <xf numFmtId="0" fontId="0" fillId="0" borderId="2" xfId="0" applyBorder="1" applyAlignment="1">
      <alignment wrapText="1"/>
    </xf>
    <xf numFmtId="2" fontId="0" fillId="0" borderId="5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0" fillId="0" borderId="2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4" xfId="0" applyNumberFormat="1" applyBorder="1" applyAlignment="1">
      <alignment horizontal="right" vertical="center" wrapText="1"/>
    </xf>
    <xf numFmtId="2" fontId="0" fillId="0" borderId="6" xfId="0" applyNumberFormat="1" applyBorder="1" applyAlignment="1">
      <alignment horizontal="right" vertical="center"/>
    </xf>
    <xf numFmtId="2" fontId="29" fillId="0" borderId="1" xfId="0" applyNumberFormat="1" applyFont="1" applyFill="1" applyBorder="1"/>
    <xf numFmtId="2" fontId="29" fillId="0" borderId="4" xfId="0" applyNumberFormat="1" applyFont="1" applyFill="1" applyBorder="1"/>
    <xf numFmtId="2" fontId="19" fillId="0" borderId="1" xfId="0" applyNumberFormat="1" applyFont="1" applyFill="1" applyBorder="1"/>
    <xf numFmtId="2" fontId="16" fillId="0" borderId="1" xfId="0" applyNumberFormat="1" applyFont="1" applyFill="1" applyBorder="1"/>
    <xf numFmtId="2" fontId="29" fillId="0" borderId="9" xfId="0" applyNumberFormat="1" applyFont="1" applyFill="1" applyBorder="1"/>
    <xf numFmtId="2" fontId="30" fillId="0" borderId="1" xfId="0" applyNumberFormat="1" applyFont="1" applyFill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right" vertical="center"/>
    </xf>
    <xf numFmtId="2" fontId="29" fillId="0" borderId="1" xfId="0" applyNumberFormat="1" applyFont="1" applyBorder="1" applyAlignment="1">
      <alignment horizontal="right" vertical="center"/>
    </xf>
    <xf numFmtId="2" fontId="29" fillId="0" borderId="1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right" vertical="center" wrapText="1"/>
    </xf>
    <xf numFmtId="10" fontId="30" fillId="0" borderId="1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10" fontId="30" fillId="0" borderId="1" xfId="0" applyNumberFormat="1" applyFont="1" applyBorder="1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6" xfId="0" quotePrefix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2" xfId="0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0" fillId="0" borderId="2" xfId="0" applyFont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" xfId="0" applyBorder="1" applyAlignment="1">
      <alignment vertical="center"/>
    </xf>
    <xf numFmtId="2" fontId="5" fillId="0" borderId="5" xfId="1" applyNumberFormat="1" applyFont="1" applyFill="1" applyBorder="1" applyAlignment="1">
      <alignment vertical="center"/>
    </xf>
    <xf numFmtId="0" fontId="28" fillId="0" borderId="0" xfId="0" quotePrefix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5" fillId="0" borderId="5" xfId="1" applyNumberFormat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wrapText="1"/>
    </xf>
    <xf numFmtId="2" fontId="5" fillId="0" borderId="1" xfId="1" applyNumberFormat="1" applyFont="1" applyFill="1" applyBorder="1" applyAlignment="1">
      <alignment vertical="center"/>
    </xf>
    <xf numFmtId="0" fontId="5" fillId="4" borderId="1" xfId="0" quotePrefix="1" applyFont="1" applyFill="1" applyBorder="1" applyAlignment="1">
      <alignment wrapText="1"/>
    </xf>
    <xf numFmtId="0" fontId="5" fillId="6" borderId="1" xfId="0" quotePrefix="1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6" borderId="20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10" fillId="0" borderId="1" xfId="0" quotePrefix="1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65" fontId="0" fillId="1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0" borderId="1" xfId="0" quotePrefix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wrapText="1"/>
    </xf>
    <xf numFmtId="0" fontId="5" fillId="0" borderId="5" xfId="0" quotePrefix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wrapText="1"/>
    </xf>
    <xf numFmtId="0" fontId="5" fillId="0" borderId="1" xfId="0" quotePrefix="1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167" fontId="20" fillId="0" borderId="5" xfId="0" applyNumberFormat="1" applyFont="1" applyBorder="1" applyAlignment="1">
      <alignment horizontal="center" vertical="center"/>
    </xf>
    <xf numFmtId="167" fontId="20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67" fontId="20" fillId="0" borderId="1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0" fillId="0" borderId="0" xfId="0" quotePrefix="1" applyFill="1" applyBorder="1" applyAlignment="1">
      <alignment wrapText="1"/>
    </xf>
    <xf numFmtId="0" fontId="0" fillId="0" borderId="8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167" fontId="0" fillId="0" borderId="1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right" vertical="center"/>
    </xf>
    <xf numFmtId="9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2" fontId="1" fillId="0" borderId="0" xfId="0" applyNumberFormat="1" applyFont="1" applyFill="1" applyBorder="1"/>
    <xf numFmtId="0" fontId="1" fillId="0" borderId="1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right" vertical="center"/>
    </xf>
    <xf numFmtId="167" fontId="0" fillId="0" borderId="1" xfId="0" applyNumberFormat="1" applyFill="1" applyBorder="1" applyAlignment="1">
      <alignment horizontal="right" vertical="center"/>
    </xf>
    <xf numFmtId="1" fontId="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quotePrefix="1" applyBorder="1" applyAlignment="1">
      <alignment wrapText="1"/>
    </xf>
    <xf numFmtId="2" fontId="0" fillId="0" borderId="5" xfId="0" applyNumberFormat="1" applyBorder="1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5" fillId="3" borderId="1" xfId="0" quotePrefix="1" applyFont="1" applyFill="1" applyBorder="1" applyAlignment="1">
      <alignment wrapText="1"/>
    </xf>
    <xf numFmtId="2" fontId="27" fillId="0" borderId="0" xfId="0" applyNumberFormat="1" applyFont="1" applyBorder="1"/>
    <xf numFmtId="0" fontId="10" fillId="0" borderId="28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2" fontId="21" fillId="0" borderId="30" xfId="0" applyNumberFormat="1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right" vertical="center"/>
    </xf>
    <xf numFmtId="0" fontId="1" fillId="2" borderId="4" xfId="0" applyFont="1" applyFill="1" applyBorder="1" applyAlignment="1">
      <alignment wrapText="1"/>
    </xf>
    <xf numFmtId="2" fontId="40" fillId="10" borderId="0" xfId="0" applyNumberFormat="1" applyFont="1" applyFill="1" applyAlignment="1">
      <alignment vertical="center" wrapText="1"/>
    </xf>
    <xf numFmtId="1" fontId="32" fillId="0" borderId="0" xfId="0" applyNumberFormat="1" applyFont="1" applyBorder="1"/>
    <xf numFmtId="0" fontId="41" fillId="0" borderId="0" xfId="0" applyFo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0" fontId="0" fillId="0" borderId="1" xfId="0" applyBorder="1" applyAlignment="1">
      <alignment horizontal="justify" vertical="center" wrapText="1"/>
    </xf>
    <xf numFmtId="0" fontId="0" fillId="2" borderId="2" xfId="0" quotePrefix="1" applyFill="1" applyBorder="1" applyAlignment="1">
      <alignment wrapText="1"/>
    </xf>
    <xf numFmtId="0" fontId="0" fillId="0" borderId="2" xfId="0" quotePrefix="1" applyFill="1" applyBorder="1" applyAlignment="1">
      <alignment wrapText="1"/>
    </xf>
    <xf numFmtId="1" fontId="5" fillId="4" borderId="25" xfId="0" applyNumberFormat="1" applyFont="1" applyFill="1" applyBorder="1" applyAlignment="1">
      <alignment vertical="center"/>
    </xf>
    <xf numFmtId="1" fontId="5" fillId="4" borderId="26" xfId="0" applyNumberFormat="1" applyFont="1" applyFill="1" applyBorder="1" applyAlignment="1">
      <alignment vertical="center"/>
    </xf>
    <xf numFmtId="1" fontId="5" fillId="4" borderId="27" xfId="0" applyNumberFormat="1" applyFont="1" applyFill="1" applyBorder="1" applyAlignment="1">
      <alignment vertical="center"/>
    </xf>
    <xf numFmtId="1" fontId="5" fillId="6" borderId="25" xfId="1" applyNumberFormat="1" applyFont="1" applyFill="1" applyBorder="1" applyAlignment="1">
      <alignment vertical="center"/>
    </xf>
    <xf numFmtId="1" fontId="5" fillId="6" borderId="26" xfId="1" applyNumberFormat="1" applyFont="1" applyFill="1" applyBorder="1" applyAlignment="1">
      <alignment vertical="center"/>
    </xf>
    <xf numFmtId="1" fontId="5" fillId="6" borderId="27" xfId="1" applyNumberFormat="1" applyFont="1" applyFill="1" applyBorder="1" applyAlignment="1">
      <alignment vertical="center"/>
    </xf>
    <xf numFmtId="1" fontId="5" fillId="3" borderId="25" xfId="1" applyNumberFormat="1" applyFont="1" applyFill="1" applyBorder="1" applyAlignment="1">
      <alignment vertical="center"/>
    </xf>
    <xf numFmtId="1" fontId="5" fillId="3" borderId="26" xfId="1" applyNumberFormat="1" applyFont="1" applyFill="1" applyBorder="1" applyAlignment="1">
      <alignment vertical="center"/>
    </xf>
    <xf numFmtId="1" fontId="5" fillId="3" borderId="27" xfId="1" applyNumberFormat="1" applyFont="1" applyFill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10" borderId="0" xfId="0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2" fontId="20" fillId="2" borderId="6" xfId="0" applyNumberFormat="1" applyFont="1" applyFill="1" applyBorder="1" applyAlignment="1" applyProtection="1">
      <alignment horizontal="right" vertical="center"/>
      <protection locked="0"/>
    </xf>
    <xf numFmtId="2" fontId="20" fillId="2" borderId="1" xfId="0" applyNumberFormat="1" applyFont="1" applyFill="1" applyBorder="1" applyAlignment="1" applyProtection="1">
      <alignment horizontal="right" vertical="center"/>
      <protection locked="0"/>
    </xf>
    <xf numFmtId="10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2" fontId="20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0" fillId="2" borderId="1" xfId="0" applyNumberForma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0" fontId="9" fillId="0" borderId="0" xfId="1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2" borderId="17" xfId="0" applyFont="1" applyFill="1" applyBorder="1" applyAlignment="1" applyProtection="1">
      <alignment vertical="center" wrapText="1"/>
      <protection locked="0"/>
    </xf>
    <xf numFmtId="0" fontId="16" fillId="2" borderId="18" xfId="0" applyFont="1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5" fillId="2" borderId="1" xfId="1" applyNumberFormat="1" applyFont="1" applyFill="1" applyBorder="1" applyAlignment="1" applyProtection="1">
      <alignment vertical="center"/>
      <protection locked="0"/>
    </xf>
    <xf numFmtId="1" fontId="5" fillId="4" borderId="21" xfId="0" applyNumberFormat="1" applyFont="1" applyFill="1" applyBorder="1" applyAlignment="1" applyProtection="1">
      <alignment horizontal="center" vertical="center"/>
      <protection locked="0"/>
    </xf>
    <xf numFmtId="1" fontId="0" fillId="4" borderId="21" xfId="0" applyNumberFormat="1" applyFill="1" applyBorder="1" applyAlignment="1" applyProtection="1">
      <alignment horizontal="center" vertical="center"/>
      <protection locked="0"/>
    </xf>
    <xf numFmtId="1" fontId="0" fillId="4" borderId="22" xfId="0" applyNumberFormat="1" applyFill="1" applyBorder="1" applyAlignment="1" applyProtection="1">
      <alignment horizontal="center" vertical="center"/>
      <protection locked="0"/>
    </xf>
    <xf numFmtId="1" fontId="5" fillId="4" borderId="23" xfId="0" applyNumberFormat="1" applyFont="1" applyFill="1" applyBorder="1" applyAlignment="1" applyProtection="1">
      <alignment horizontal="center" vertical="center"/>
      <protection locked="0"/>
    </xf>
    <xf numFmtId="1" fontId="0" fillId="4" borderId="23" xfId="0" applyNumberFormat="1" applyFill="1" applyBorder="1" applyAlignment="1" applyProtection="1">
      <alignment horizontal="center" vertical="center"/>
      <protection locked="0"/>
    </xf>
    <xf numFmtId="1" fontId="0" fillId="4" borderId="24" xfId="0" applyNumberFormat="1" applyFill="1" applyBorder="1" applyAlignment="1" applyProtection="1">
      <alignment horizontal="center" vertical="center"/>
      <protection locked="0"/>
    </xf>
    <xf numFmtId="1" fontId="5" fillId="6" borderId="21" xfId="1" applyNumberFormat="1" applyFont="1" applyFill="1" applyBorder="1" applyAlignment="1" applyProtection="1">
      <alignment horizontal="center" vertical="center"/>
      <protection locked="0"/>
    </xf>
    <xf numFmtId="1" fontId="5" fillId="6" borderId="22" xfId="1" applyNumberFormat="1" applyFont="1" applyFill="1" applyBorder="1" applyAlignment="1" applyProtection="1">
      <alignment horizontal="center" vertical="center"/>
      <protection locked="0"/>
    </xf>
    <xf numFmtId="1" fontId="5" fillId="6" borderId="23" xfId="1" applyNumberFormat="1" applyFont="1" applyFill="1" applyBorder="1" applyAlignment="1" applyProtection="1">
      <alignment horizontal="center" vertical="center"/>
      <protection locked="0"/>
    </xf>
    <xf numFmtId="1" fontId="5" fillId="6" borderId="24" xfId="1" applyNumberFormat="1" applyFont="1" applyFill="1" applyBorder="1" applyAlignment="1" applyProtection="1">
      <alignment horizontal="center" vertical="center"/>
      <protection locked="0"/>
    </xf>
    <xf numFmtId="1" fontId="5" fillId="3" borderId="21" xfId="1" applyNumberFormat="1" applyFont="1" applyFill="1" applyBorder="1" applyAlignment="1" applyProtection="1">
      <alignment horizontal="center" vertical="center"/>
      <protection locked="0"/>
    </xf>
    <xf numFmtId="1" fontId="5" fillId="3" borderId="22" xfId="1" applyNumberFormat="1" applyFont="1" applyFill="1" applyBorder="1" applyAlignment="1" applyProtection="1">
      <alignment horizontal="center" vertical="center"/>
      <protection locked="0"/>
    </xf>
    <xf numFmtId="1" fontId="5" fillId="3" borderId="23" xfId="1" applyNumberFormat="1" applyFont="1" applyFill="1" applyBorder="1" applyAlignment="1" applyProtection="1">
      <alignment horizontal="center" vertical="center"/>
      <protection locked="0"/>
    </xf>
    <xf numFmtId="1" fontId="5" fillId="3" borderId="24" xfId="1" applyNumberFormat="1" applyFont="1" applyFill="1" applyBorder="1" applyAlignment="1" applyProtection="1">
      <alignment horizontal="center" vertical="center"/>
      <protection locked="0"/>
    </xf>
    <xf numFmtId="0" fontId="0" fillId="2" borderId="1" xfId="0" quotePrefix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 vertical="center" wrapText="1"/>
      <protection locked="0"/>
    </xf>
    <xf numFmtId="2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quotePrefix="1" applyFont="1" applyFill="1" applyBorder="1" applyAlignment="1" applyProtection="1">
      <alignment horizontal="left" wrapText="1"/>
      <protection locked="0"/>
    </xf>
    <xf numFmtId="10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wrapText="1"/>
    </xf>
    <xf numFmtId="10" fontId="40" fillId="0" borderId="0" xfId="1" applyNumberFormat="1" applyFont="1" applyBorder="1" applyAlignment="1">
      <alignment horizontal="center" vertical="center"/>
    </xf>
    <xf numFmtId="0" fontId="9" fillId="0" borderId="0" xfId="0" applyFont="1" applyBorder="1"/>
    <xf numFmtId="0" fontId="40" fillId="0" borderId="0" xfId="0" applyFont="1"/>
    <xf numFmtId="0" fontId="9" fillId="0" borderId="0" xfId="0" applyFont="1" applyBorder="1" applyAlignment="1">
      <alignment horizontal="justify" vertical="center" wrapText="1"/>
    </xf>
    <xf numFmtId="2" fontId="9" fillId="0" borderId="0" xfId="0" applyNumberFormat="1" applyFont="1"/>
    <xf numFmtId="10" fontId="9" fillId="0" borderId="0" xfId="1" applyNumberFormat="1" applyFont="1"/>
    <xf numFmtId="0" fontId="9" fillId="0" borderId="0" xfId="0" applyFont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19" fillId="2" borderId="1" xfId="0" applyNumberFormat="1" applyFont="1" applyFill="1" applyBorder="1" applyProtection="1">
      <protection locked="0"/>
    </xf>
    <xf numFmtId="0" fontId="0" fillId="2" borderId="2" xfId="0" quotePrefix="1" applyFont="1" applyFill="1" applyBorder="1" applyAlignment="1" applyProtection="1">
      <alignment wrapText="1"/>
      <protection locked="0"/>
    </xf>
    <xf numFmtId="2" fontId="19" fillId="2" borderId="4" xfId="0" applyNumberFormat="1" applyFont="1" applyFill="1" applyBorder="1" applyProtection="1">
      <protection locked="0"/>
    </xf>
    <xf numFmtId="2" fontId="16" fillId="2" borderId="1" xfId="0" applyNumberFormat="1" applyFont="1" applyFill="1" applyBorder="1" applyProtection="1">
      <protection locked="0"/>
    </xf>
    <xf numFmtId="1" fontId="9" fillId="0" borderId="0" xfId="0" applyNumberFormat="1" applyFont="1" applyBorder="1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Protection="1">
      <protection locked="0"/>
    </xf>
    <xf numFmtId="9" fontId="5" fillId="2" borderId="1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quotePrefix="1" applyFont="1" applyFill="1" applyBorder="1" applyAlignment="1">
      <alignment horizontal="left" vertical="center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1" fontId="5" fillId="0" borderId="0" xfId="1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6" borderId="0" xfId="0" applyFill="1" applyAlignment="1">
      <alignment horizontal="left" vertical="top" wrapText="1"/>
    </xf>
    <xf numFmtId="2" fontId="9" fillId="0" borderId="0" xfId="1" applyNumberFormat="1" applyFont="1" applyBorder="1" applyAlignment="1">
      <alignment horizontal="center" vertical="center"/>
    </xf>
    <xf numFmtId="2" fontId="9" fillId="0" borderId="0" xfId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1" xfId="0" applyFill="1" applyBorder="1" applyProtection="1">
      <protection locked="0"/>
    </xf>
    <xf numFmtId="2" fontId="1" fillId="0" borderId="0" xfId="0" applyNumberFormat="1" applyFont="1" applyFill="1" applyBorder="1" applyAlignment="1">
      <alignment vertical="center" wrapText="1"/>
    </xf>
    <xf numFmtId="1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6" borderId="0" xfId="0" quotePrefix="1" applyFont="1" applyFill="1" applyBorder="1" applyAlignment="1">
      <alignment horizontal="left" vertical="top" wrapText="1"/>
    </xf>
    <xf numFmtId="9" fontId="5" fillId="9" borderId="1" xfId="1" applyFont="1" applyFill="1" applyBorder="1" applyAlignment="1" applyProtection="1">
      <alignment horizontal="center" vertical="center"/>
      <protection locked="0"/>
    </xf>
    <xf numFmtId="10" fontId="5" fillId="2" borderId="1" xfId="0" applyNumberFormat="1" applyFont="1" applyFill="1" applyBorder="1" applyAlignment="1" applyProtection="1">
      <alignment horizontal="center" vertical="center"/>
      <protection locked="0"/>
    </xf>
    <xf numFmtId="2" fontId="25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 applyProtection="1">
      <alignment horizontal="center" vertical="center"/>
      <protection locked="0"/>
    </xf>
    <xf numFmtId="1" fontId="9" fillId="0" borderId="0" xfId="0" quotePrefix="1" applyNumberFormat="1" applyFont="1" applyFill="1" applyBorder="1" applyAlignment="1">
      <alignment wrapText="1"/>
    </xf>
    <xf numFmtId="0" fontId="31" fillId="0" borderId="0" xfId="0" quotePrefix="1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2" fontId="5" fillId="0" borderId="2" xfId="1" applyNumberFormat="1" applyFont="1" applyFill="1" applyBorder="1" applyAlignment="1">
      <alignment horizontal="left" vertical="center" wrapText="1"/>
    </xf>
    <xf numFmtId="2" fontId="5" fillId="0" borderId="3" xfId="1" applyNumberFormat="1" applyFont="1" applyFill="1" applyBorder="1" applyAlignment="1">
      <alignment horizontal="left" vertical="center" wrapText="1"/>
    </xf>
    <xf numFmtId="2" fontId="5" fillId="0" borderId="4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9" fillId="0" borderId="0" xfId="0" quotePrefix="1" applyFont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left" vertical="center" wrapText="1"/>
    </xf>
    <xf numFmtId="1" fontId="2" fillId="0" borderId="15" xfId="0" applyNumberFormat="1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left" vertical="center" wrapText="1"/>
    </xf>
    <xf numFmtId="1" fontId="2" fillId="0" borderId="29" xfId="0" applyNumberFormat="1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30" xfId="0" applyNumberFormat="1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0" fillId="6" borderId="0" xfId="0" applyNumberFormat="1" applyFill="1" applyAlignment="1">
      <alignment horizontal="left" vertical="center" wrapText="1"/>
    </xf>
    <xf numFmtId="0" fontId="2" fillId="4" borderId="0" xfId="0" applyNumberFormat="1" applyFont="1" applyFill="1" applyAlignment="1">
      <alignment horizontal="left" vertical="center" wrapText="1"/>
    </xf>
    <xf numFmtId="0" fontId="2" fillId="4" borderId="0" xfId="0" quotePrefix="1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center" wrapText="1"/>
    </xf>
    <xf numFmtId="0" fontId="5" fillId="0" borderId="0" xfId="0" quotePrefix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quotePrefix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5" fillId="4" borderId="0" xfId="1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9" fontId="5" fillId="2" borderId="5" xfId="1" applyFont="1" applyFill="1" applyBorder="1" applyAlignment="1" applyProtection="1">
      <alignment horizontal="center" vertical="center" wrapText="1"/>
      <protection locked="0"/>
    </xf>
    <xf numFmtId="9" fontId="5" fillId="2" borderId="6" xfId="1" applyFont="1" applyFill="1" applyBorder="1" applyAlignment="1" applyProtection="1">
      <alignment horizontal="center" vertical="center" wrapText="1"/>
      <protection locked="0"/>
    </xf>
    <xf numFmtId="9" fontId="5" fillId="2" borderId="7" xfId="1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left" vertical="center" wrapText="1"/>
    </xf>
    <xf numFmtId="1" fontId="5" fillId="4" borderId="0" xfId="1" applyNumberFormat="1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5" fillId="2" borderId="2" xfId="0" quotePrefix="1" applyFont="1" applyFill="1" applyBorder="1" applyAlignment="1" applyProtection="1">
      <alignment horizontal="left" vertical="center" wrapText="1"/>
      <protection locked="0"/>
    </xf>
    <xf numFmtId="0" fontId="5" fillId="2" borderId="4" xfId="0" quotePrefix="1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6" borderId="0" xfId="0" applyNumberFormat="1" applyFill="1" applyAlignment="1">
      <alignment horizontal="left" vertical="top" wrapText="1"/>
    </xf>
    <xf numFmtId="1" fontId="5" fillId="4" borderId="0" xfId="1" applyNumberFormat="1" applyFont="1" applyFill="1" applyBorder="1" applyAlignment="1">
      <alignment horizontal="left" vertical="top" wrapText="1"/>
    </xf>
  </cellXfs>
  <cellStyles count="2">
    <cellStyle name="Normalny" xfId="0" builtinId="0"/>
    <cellStyle name="Procentowy" xfId="1" builtinId="5"/>
  </cellStyles>
  <dxfs count="53">
    <dxf>
      <font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2"/>
      </font>
    </dxf>
    <dxf>
      <font>
        <color theme="0"/>
      </font>
      <fill>
        <patternFill>
          <bgColor theme="0"/>
        </patternFill>
      </fill>
    </dxf>
    <dxf>
      <font>
        <color theme="2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2"/>
      </font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  <dxf>
      <font>
        <color theme="2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2"/>
      </font>
    </dxf>
    <dxf>
      <font>
        <color theme="0"/>
      </font>
      <numFmt numFmtId="2" formatCode="0.00"/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8F8F8"/>
      <color rgb="FFEAEAEA"/>
      <color rgb="FFF8ED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5.1. Wrażliwość na zmianę nakładów
</a:t>
            </a:r>
            <a:r>
              <a:rPr lang="en-US">
                <a:solidFill>
                  <a:srgbClr val="FF0000"/>
                </a:solidFill>
              </a:rPr>
              <a:t>5.1. Citlivosť na zmenu investičných </a:t>
            </a:r>
            <a:r>
              <a:rPr lang="sk-SK">
                <a:solidFill>
                  <a:srgbClr val="FF0000"/>
                </a:solidFill>
              </a:rPr>
              <a:t>výdavkov</a:t>
            </a:r>
            <a:endParaRPr lang="en-US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'!$A$63</c:f>
              <c:strCache>
                <c:ptCount val="1"/>
                <c:pt idx="0">
                  <c:v>5.1. Wrażliwość na zmianę nakładów
5.1. Citlivosť na zmenu investičných výdavkov</c:v>
                </c:pt>
              </c:strCache>
            </c:strRef>
          </c:tx>
          <c:cat>
            <c:numRef>
              <c:f>'Wyniki_Výsledky '!$F$70:$F$74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'!$D$70:$D$74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942272"/>
        <c:axId val="89952256"/>
      </c:lineChart>
      <c:catAx>
        <c:axId val="899422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89952256"/>
        <c:crosses val="autoZero"/>
        <c:auto val="1"/>
        <c:lblAlgn val="ctr"/>
        <c:lblOffset val="100"/>
        <c:noMultiLvlLbl val="0"/>
      </c:catAx>
      <c:valAx>
        <c:axId val="89952256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89942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5.2. Wrażliwość na zmianę przychodów i wartości rezydualnej
</a:t>
            </a:r>
            <a:r>
              <a:rPr lang="en-US">
                <a:solidFill>
                  <a:srgbClr val="FF0000"/>
                </a:solidFill>
              </a:rPr>
              <a:t>5.2. Citlivosť na zmenu príjmov a zostatkovej hodnoty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'!$A$76</c:f>
              <c:strCache>
                <c:ptCount val="1"/>
                <c:pt idx="0">
                  <c:v>5.2. Wrażliwość na zmianę przychodów i wartości rezydualnej
5.2. Citlivosť na zmenu príjmov a zostatkovej hodnoty</c:v>
                </c:pt>
              </c:strCache>
            </c:strRef>
          </c:tx>
          <c:cat>
            <c:numRef>
              <c:f>'Wyniki_Výsledky '!$F$83:$F$87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'!$D$83:$D$87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8880"/>
      </c:lineChart>
      <c:catAx>
        <c:axId val="911773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1178880"/>
        <c:crosses val="autoZero"/>
        <c:auto val="1"/>
        <c:lblAlgn val="ctr"/>
        <c:lblOffset val="100"/>
        <c:noMultiLvlLbl val="0"/>
      </c:catAx>
      <c:valAx>
        <c:axId val="91178880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91177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5.3. Wrażliwość na zmianę kosztów operacyjnych
</a:t>
            </a:r>
            <a:r>
              <a:rPr lang="en-US">
                <a:solidFill>
                  <a:srgbClr val="FF0000"/>
                </a:solidFill>
              </a:rPr>
              <a:t>5.3. Citlivosť na zmenu prevádzkových nákladov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'Wyniki_Výsledky '!$A$89</c:f>
              <c:strCache>
                <c:ptCount val="1"/>
                <c:pt idx="0">
                  <c:v>5.3. Wrażliwość na zmianę kosztów operacyjnych
5.3. Citlivosť na zmenu prevádzkových nákladov</c:v>
                </c:pt>
              </c:strCache>
            </c:strRef>
          </c:tx>
          <c:cat>
            <c:numRef>
              <c:f>'Wyniki_Výsledky '!$F$96:$F$100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'Wyniki_Výsledky '!$D$96:$D$100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199744"/>
        <c:axId val="91291648"/>
      </c:lineChart>
      <c:catAx>
        <c:axId val="9119974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crossAx val="91291648"/>
        <c:crosses val="autoZero"/>
        <c:auto val="1"/>
        <c:lblAlgn val="ctr"/>
        <c:lblOffset val="100"/>
        <c:noMultiLvlLbl val="0"/>
      </c:catAx>
      <c:valAx>
        <c:axId val="91291648"/>
        <c:scaling>
          <c:orientation val="minMax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9119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614725584710471E-2"/>
          <c:y val="5.1400477925334108E-2"/>
          <c:w val="0.9719649146420849"/>
          <c:h val="0.8326195683872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Trwałość_Udržateľnosť!$B$46</c:f>
              <c:strCache>
                <c:ptCount val="1"/>
                <c:pt idx="0">
                  <c:v>Stan środków pieniężnych bez inwestycji:
Stav peňažných prostriedkov bez investície:</c:v>
                </c:pt>
              </c:strCache>
            </c:strRef>
          </c:tx>
          <c:invertIfNegative val="0"/>
          <c:cat>
            <c:numRef>
              <c:f>Trwałość_Udržateľnosť!$C$3:$AA$3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Trwałość_Udržateľnosť!$C$46:$AA$46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Trwałość_Udržateľnosť!$B$47</c:f>
              <c:strCache>
                <c:ptCount val="1"/>
                <c:pt idx="0">
                  <c:v>Saldo przepływów inwestycji:
Zostatok peňažných tokov investície:</c:v>
                </c:pt>
              </c:strCache>
            </c:strRef>
          </c:tx>
          <c:invertIfNegative val="0"/>
          <c:cat>
            <c:numRef>
              <c:f>Trwałość_Udržateľnosť!$C$3:$AA$3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Trwałość_Udržateľnosť!$C$47:$AA$47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790912"/>
        <c:axId val="90792704"/>
      </c:barChart>
      <c:lineChart>
        <c:grouping val="standard"/>
        <c:varyColors val="0"/>
        <c:ser>
          <c:idx val="2"/>
          <c:order val="2"/>
          <c:tx>
            <c:strRef>
              <c:f>Trwałość_Udržateľnosť!$B$48</c:f>
              <c:strCache>
                <c:ptCount val="1"/>
                <c:pt idx="0">
                  <c:v>Stan środków pieniężnych na koniec roku:
Stav peňažných prostriedkov na konci roka:</c:v>
                </c:pt>
              </c:strCache>
            </c:strRef>
          </c:tx>
          <c:marker>
            <c:symbol val="none"/>
          </c:marker>
          <c:cat>
            <c:numRef>
              <c:f>Trwałość_Udržateľnosť!$C$3:$AA$3</c:f>
              <c:numCache>
                <c:formatCode>General</c:formatCode>
                <c:ptCount val="2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</c:numCache>
            </c:numRef>
          </c:cat>
          <c:val>
            <c:numRef>
              <c:f>Trwałość_Udržateľnosť!$C$48:$AA$48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0912"/>
        <c:axId val="90792704"/>
      </c:lineChart>
      <c:catAx>
        <c:axId val="907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0792704"/>
        <c:crosses val="autoZero"/>
        <c:auto val="1"/>
        <c:lblAlgn val="ctr"/>
        <c:lblOffset val="100"/>
        <c:noMultiLvlLbl val="0"/>
      </c:catAx>
      <c:valAx>
        <c:axId val="9079270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0790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376208307704774E-2"/>
          <c:y val="0.13777568848670041"/>
          <c:w val="0.55704141149023523"/>
          <c:h val="0.173599445902597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38100</xdr:rowOff>
    </xdr:from>
    <xdr:to>
      <xdr:col>21</xdr:col>
      <xdr:colOff>190500</xdr:colOff>
      <xdr:row>2</xdr:row>
      <xdr:rowOff>152400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8100"/>
          <a:ext cx="32194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260350</xdr:colOff>
      <xdr:row>68</xdr:row>
      <xdr:rowOff>1058</xdr:rowOff>
    </xdr:from>
    <xdr:to>
      <xdr:col>12</xdr:col>
      <xdr:colOff>846100</xdr:colOff>
      <xdr:row>74</xdr:row>
      <xdr:rowOff>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209550</xdr:colOff>
      <xdr:row>81</xdr:row>
      <xdr:rowOff>6350</xdr:rowOff>
    </xdr:from>
    <xdr:to>
      <xdr:col>12</xdr:col>
      <xdr:colOff>795300</xdr:colOff>
      <xdr:row>87</xdr:row>
      <xdr:rowOff>0</xdr:rowOff>
    </xdr:to>
    <xdr:graphicFrame macro="">
      <xdr:nvGraphicFramePr>
        <xdr:cNvPr id="9" name="Wykres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307975</xdr:colOff>
      <xdr:row>92</xdr:row>
      <xdr:rowOff>9525</xdr:rowOff>
    </xdr:from>
    <xdr:to>
      <xdr:col>12</xdr:col>
      <xdr:colOff>893725</xdr:colOff>
      <xdr:row>99</xdr:row>
      <xdr:rowOff>327025</xdr:rowOff>
    </xdr:to>
    <xdr:graphicFrame macro="">
      <xdr:nvGraphicFramePr>
        <xdr:cNvPr id="10" name="Wykres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0.01487</cdr:x>
      <cdr:y>0.04666</cdr:y>
    </cdr:from>
    <cdr:to>
      <cdr:x>0.16167</cdr:x>
      <cdr:y>0.16759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77712" y="116383"/>
          <a:ext cx="767204" cy="3016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0.00876</cdr:x>
      <cdr:y>0.01229</cdr:y>
    </cdr:from>
    <cdr:to>
      <cdr:x>0.20876</cdr:x>
      <cdr:y>0.21507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41009" y="26545"/>
          <a:ext cx="936000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0.00469</cdr:x>
      <cdr:y>0.04316</cdr:y>
    </cdr:from>
    <cdr:to>
      <cdr:x>0.16486</cdr:x>
      <cdr:y>0.24594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21959" y="93220"/>
          <a:ext cx="749566" cy="438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>
              <a:latin typeface="Arial"/>
              <a:cs typeface="Arial"/>
            </a:rPr>
            <a:t>∆ </a:t>
          </a:r>
          <a:r>
            <a:rPr lang="pl-PL" sz="1100"/>
            <a:t>FNPV/c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1968500</xdr:colOff>
      <xdr:row>44</xdr:row>
      <xdr:rowOff>84666</xdr:rowOff>
    </xdr:from>
    <xdr:to>
      <xdr:col>27</xdr:col>
      <xdr:colOff>0</xdr:colOff>
      <xdr:row>56</xdr:row>
      <xdr:rowOff>160866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B33"/>
  <sheetViews>
    <sheetView showGridLines="0" tabSelected="1" view="pageBreakPreview" zoomScaleNormal="100" zoomScaleSheetLayoutView="100" workbookViewId="0">
      <selection activeCell="C1" sqref="C1:O1"/>
    </sheetView>
  </sheetViews>
  <sheetFormatPr defaultRowHeight="15" x14ac:dyDescent="0.25"/>
  <cols>
    <col min="1" max="1" width="3" customWidth="1"/>
    <col min="2" max="2" width="25.85546875" customWidth="1"/>
    <col min="3" max="3" width="10.42578125" bestFit="1" customWidth="1"/>
    <col min="4" max="9" width="9.28515625" bestFit="1" customWidth="1"/>
    <col min="10" max="10" width="10" bestFit="1" customWidth="1"/>
    <col min="11" max="21" width="9.28515625" bestFit="1" customWidth="1"/>
  </cols>
  <sheetData>
    <row r="1" spans="1:28" ht="45" customHeight="1" x14ac:dyDescent="0.25">
      <c r="A1" s="279"/>
      <c r="B1" s="256" t="s">
        <v>35</v>
      </c>
      <c r="C1" s="484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6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</row>
    <row r="2" spans="1:28" x14ac:dyDescent="0.25">
      <c r="A2" s="279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</row>
    <row r="3" spans="1:28" ht="30" x14ac:dyDescent="0.25">
      <c r="A3" s="255" t="s">
        <v>0</v>
      </c>
      <c r="B3" s="342" t="s">
        <v>389</v>
      </c>
      <c r="C3" s="375">
        <v>2016</v>
      </c>
      <c r="D3" s="3"/>
      <c r="E3" s="437" t="s">
        <v>404</v>
      </c>
      <c r="F3" s="68">
        <v>2015</v>
      </c>
      <c r="G3" s="68">
        <v>2016</v>
      </c>
      <c r="H3" s="68">
        <v>2017</v>
      </c>
      <c r="I3" s="68">
        <v>2018</v>
      </c>
      <c r="J3" s="68">
        <v>2019</v>
      </c>
      <c r="K3" s="68">
        <v>2020</v>
      </c>
      <c r="L3" s="68">
        <v>2021</v>
      </c>
      <c r="M3" s="68">
        <v>2022</v>
      </c>
      <c r="N3" s="68">
        <v>2023</v>
      </c>
      <c r="O3" s="3"/>
      <c r="P3" s="3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</row>
    <row r="4" spans="1:28" ht="30" customHeight="1" x14ac:dyDescent="0.25">
      <c r="A4" s="255" t="s">
        <v>15</v>
      </c>
      <c r="B4" s="14" t="s">
        <v>220</v>
      </c>
      <c r="C4" s="375">
        <v>2017</v>
      </c>
      <c r="D4" s="481"/>
      <c r="E4" s="437" t="s">
        <v>404</v>
      </c>
      <c r="F4" s="68">
        <f>IF(C9&lt;2024,C9,"")</f>
        <v>2016</v>
      </c>
      <c r="G4" s="68">
        <f t="shared" ref="G4:O4" si="0">IF(D9&lt;2024,D9,"")</f>
        <v>2017</v>
      </c>
      <c r="H4" s="68">
        <f t="shared" si="0"/>
        <v>2018</v>
      </c>
      <c r="I4" s="68">
        <f t="shared" si="0"/>
        <v>2019</v>
      </c>
      <c r="J4" s="68">
        <f t="shared" si="0"/>
        <v>2020</v>
      </c>
      <c r="K4" s="68">
        <f t="shared" si="0"/>
        <v>2021</v>
      </c>
      <c r="L4" s="68">
        <f t="shared" si="0"/>
        <v>2022</v>
      </c>
      <c r="M4" s="68">
        <f t="shared" si="0"/>
        <v>2023</v>
      </c>
      <c r="N4" s="68" t="str">
        <f t="shared" si="0"/>
        <v/>
      </c>
      <c r="O4" s="3" t="str">
        <f t="shared" si="0"/>
        <v/>
      </c>
      <c r="P4" s="3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</row>
    <row r="5" spans="1:28" ht="30" x14ac:dyDescent="0.25">
      <c r="A5" s="255" t="s">
        <v>16</v>
      </c>
      <c r="B5" s="372" t="s">
        <v>358</v>
      </c>
      <c r="C5" s="149">
        <v>25</v>
      </c>
      <c r="D5" s="258" t="s">
        <v>107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8" ht="30" customHeight="1" x14ac:dyDescent="0.25">
      <c r="A6" s="255" t="s">
        <v>17</v>
      </c>
      <c r="B6" s="490" t="s">
        <v>221</v>
      </c>
      <c r="C6" s="491"/>
      <c r="D6" s="491"/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1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28" ht="30" x14ac:dyDescent="0.25">
      <c r="A7" s="255"/>
      <c r="B7" s="259" t="s">
        <v>36</v>
      </c>
      <c r="C7" s="328">
        <v>0.04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8" ht="30" x14ac:dyDescent="0.25">
      <c r="A8" s="255"/>
      <c r="B8" s="259" t="s">
        <v>37</v>
      </c>
      <c r="C8" s="149">
        <v>0</v>
      </c>
      <c r="D8" s="150">
        <f>IF(C8+1&lt;$C$5,C8+1,0)</f>
        <v>1</v>
      </c>
      <c r="E8" s="150">
        <f>IF(D8=0,0,(IF(D8+1&lt;$C$5,D8+1,0)))</f>
        <v>2</v>
      </c>
      <c r="F8" s="150">
        <f t="shared" ref="F8:AA8" si="1">IF(E8=0,0,(IF(E8+1&lt;$C$5,E8+1,0)))</f>
        <v>3</v>
      </c>
      <c r="G8" s="150">
        <f t="shared" si="1"/>
        <v>4</v>
      </c>
      <c r="H8" s="150">
        <f t="shared" si="1"/>
        <v>5</v>
      </c>
      <c r="I8" s="150">
        <f t="shared" si="1"/>
        <v>6</v>
      </c>
      <c r="J8" s="150">
        <f t="shared" si="1"/>
        <v>7</v>
      </c>
      <c r="K8" s="150">
        <f t="shared" si="1"/>
        <v>8</v>
      </c>
      <c r="L8" s="150">
        <f t="shared" si="1"/>
        <v>9</v>
      </c>
      <c r="M8" s="150">
        <f t="shared" si="1"/>
        <v>10</v>
      </c>
      <c r="N8" s="150">
        <f t="shared" si="1"/>
        <v>11</v>
      </c>
      <c r="O8" s="150">
        <f t="shared" si="1"/>
        <v>12</v>
      </c>
      <c r="P8" s="150">
        <f t="shared" si="1"/>
        <v>13</v>
      </c>
      <c r="Q8" s="150">
        <f t="shared" si="1"/>
        <v>14</v>
      </c>
      <c r="R8" s="150">
        <f t="shared" si="1"/>
        <v>15</v>
      </c>
      <c r="S8" s="150">
        <f t="shared" si="1"/>
        <v>16</v>
      </c>
      <c r="T8" s="150">
        <f t="shared" si="1"/>
        <v>17</v>
      </c>
      <c r="U8" s="150">
        <f t="shared" si="1"/>
        <v>18</v>
      </c>
      <c r="V8" s="150">
        <f t="shared" si="1"/>
        <v>19</v>
      </c>
      <c r="W8" s="150">
        <f t="shared" si="1"/>
        <v>20</v>
      </c>
      <c r="X8" s="150">
        <f t="shared" si="1"/>
        <v>21</v>
      </c>
      <c r="Y8" s="150">
        <f t="shared" si="1"/>
        <v>22</v>
      </c>
      <c r="Z8" s="150">
        <f t="shared" si="1"/>
        <v>23</v>
      </c>
      <c r="AA8" s="150">
        <f t="shared" si="1"/>
        <v>24</v>
      </c>
    </row>
    <row r="9" spans="1:28" ht="30" x14ac:dyDescent="0.25">
      <c r="A9" s="255"/>
      <c r="B9" s="16" t="s">
        <v>222</v>
      </c>
      <c r="C9" s="150">
        <f>C3</f>
        <v>2016</v>
      </c>
      <c r="D9" s="150">
        <f>$C$9+D8</f>
        <v>2017</v>
      </c>
      <c r="E9" s="150">
        <f>IF($C$9+E8&lt;D9,0,$C$9+E8)*OR(IF(D9=0,"",$C$9+E8))</f>
        <v>2018</v>
      </c>
      <c r="F9" s="150">
        <f t="shared" ref="F9:AA9" si="2">IF($C$9+F8&lt;E9,0,$C$9+F8)*OR(IF(E9=0,0,$C$9+F8))</f>
        <v>2019</v>
      </c>
      <c r="G9" s="150">
        <f t="shared" si="2"/>
        <v>2020</v>
      </c>
      <c r="H9" s="150">
        <f t="shared" si="2"/>
        <v>2021</v>
      </c>
      <c r="I9" s="150">
        <f t="shared" si="2"/>
        <v>2022</v>
      </c>
      <c r="J9" s="150">
        <f t="shared" si="2"/>
        <v>2023</v>
      </c>
      <c r="K9" s="150">
        <f t="shared" si="2"/>
        <v>2024</v>
      </c>
      <c r="L9" s="150">
        <f t="shared" si="2"/>
        <v>2025</v>
      </c>
      <c r="M9" s="150">
        <f t="shared" si="2"/>
        <v>2026</v>
      </c>
      <c r="N9" s="150">
        <f t="shared" si="2"/>
        <v>2027</v>
      </c>
      <c r="O9" s="150">
        <f t="shared" si="2"/>
        <v>2028</v>
      </c>
      <c r="P9" s="150">
        <f t="shared" si="2"/>
        <v>2029</v>
      </c>
      <c r="Q9" s="150">
        <f t="shared" si="2"/>
        <v>2030</v>
      </c>
      <c r="R9" s="150">
        <f t="shared" si="2"/>
        <v>2031</v>
      </c>
      <c r="S9" s="150">
        <f t="shared" si="2"/>
        <v>2032</v>
      </c>
      <c r="T9" s="150">
        <f t="shared" si="2"/>
        <v>2033</v>
      </c>
      <c r="U9" s="150">
        <f t="shared" si="2"/>
        <v>2034</v>
      </c>
      <c r="V9" s="150">
        <f t="shared" si="2"/>
        <v>2035</v>
      </c>
      <c r="W9" s="149">
        <f t="shared" si="2"/>
        <v>2036</v>
      </c>
      <c r="X9" s="150">
        <f t="shared" si="2"/>
        <v>2037</v>
      </c>
      <c r="Y9" s="150">
        <f t="shared" si="2"/>
        <v>2038</v>
      </c>
      <c r="Z9" s="150">
        <f t="shared" si="2"/>
        <v>2039</v>
      </c>
      <c r="AA9" s="150">
        <f t="shared" si="2"/>
        <v>2040</v>
      </c>
    </row>
    <row r="10" spans="1:28" ht="30" x14ac:dyDescent="0.25">
      <c r="A10" s="255"/>
      <c r="B10" s="259" t="s">
        <v>38</v>
      </c>
      <c r="C10" s="125">
        <f>ROUND(1/(1+$C$7)^C8,4)</f>
        <v>1</v>
      </c>
      <c r="D10" s="125">
        <f>IF(ROUND(1/(1+$C$7)^D8,4)&lt;C10,ROUND(1/(1+$C$7)^D8,4),0)</f>
        <v>0.96150000000000002</v>
      </c>
      <c r="E10" s="125">
        <f>IF(ROUND(1/(1+$C$7)^E8,4)&lt;D10,ROUND(1/(1+$C$7)^E8,4),0)</f>
        <v>0.92459999999999998</v>
      </c>
      <c r="F10" s="125">
        <f t="shared" ref="F10:AA10" si="3">IF(ROUND(1/(1+$C$7)^F8,4)&lt;E10,ROUND(1/(1+$C$7)^F8,4),0)</f>
        <v>0.88900000000000001</v>
      </c>
      <c r="G10" s="125">
        <f t="shared" si="3"/>
        <v>0.8548</v>
      </c>
      <c r="H10" s="125">
        <f t="shared" si="3"/>
        <v>0.82189999999999996</v>
      </c>
      <c r="I10" s="125">
        <f t="shared" si="3"/>
        <v>0.7903</v>
      </c>
      <c r="J10" s="125">
        <f t="shared" si="3"/>
        <v>0.75990000000000002</v>
      </c>
      <c r="K10" s="125">
        <f t="shared" si="3"/>
        <v>0.73070000000000002</v>
      </c>
      <c r="L10" s="125">
        <f t="shared" si="3"/>
        <v>0.7026</v>
      </c>
      <c r="M10" s="125">
        <f t="shared" si="3"/>
        <v>0.67559999999999998</v>
      </c>
      <c r="N10" s="125">
        <f t="shared" si="3"/>
        <v>0.64959999999999996</v>
      </c>
      <c r="O10" s="125">
        <f t="shared" si="3"/>
        <v>0.62460000000000004</v>
      </c>
      <c r="P10" s="125">
        <f t="shared" si="3"/>
        <v>0.60060000000000002</v>
      </c>
      <c r="Q10" s="125">
        <f t="shared" si="3"/>
        <v>0.57750000000000001</v>
      </c>
      <c r="R10" s="125">
        <f t="shared" si="3"/>
        <v>0.55530000000000002</v>
      </c>
      <c r="S10" s="125">
        <f t="shared" si="3"/>
        <v>0.53390000000000004</v>
      </c>
      <c r="T10" s="125">
        <f t="shared" si="3"/>
        <v>0.51339999999999997</v>
      </c>
      <c r="U10" s="125">
        <f t="shared" si="3"/>
        <v>0.49359999999999998</v>
      </c>
      <c r="V10" s="125">
        <f t="shared" si="3"/>
        <v>0.47460000000000002</v>
      </c>
      <c r="W10" s="125">
        <f t="shared" si="3"/>
        <v>0.45639999999999997</v>
      </c>
      <c r="X10" s="125">
        <f t="shared" si="3"/>
        <v>0.43880000000000002</v>
      </c>
      <c r="Y10" s="125">
        <f t="shared" si="3"/>
        <v>0.42199999999999999</v>
      </c>
      <c r="Z10" s="125">
        <f t="shared" si="3"/>
        <v>0.40570000000000001</v>
      </c>
      <c r="AA10" s="125">
        <f t="shared" si="3"/>
        <v>0.3901</v>
      </c>
    </row>
    <row r="11" spans="1:28" x14ac:dyDescent="0.25">
      <c r="A11" s="25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1:28" ht="30" customHeight="1" x14ac:dyDescent="0.25">
      <c r="A12" s="255" t="s">
        <v>18</v>
      </c>
      <c r="B12" s="490" t="s">
        <v>223</v>
      </c>
      <c r="C12" s="491"/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1:28" ht="30" x14ac:dyDescent="0.25">
      <c r="A13" s="255"/>
      <c r="B13" s="259" t="s">
        <v>36</v>
      </c>
      <c r="C13" s="328">
        <v>0.05</v>
      </c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</row>
    <row r="14" spans="1:28" ht="30" x14ac:dyDescent="0.25">
      <c r="A14" s="255"/>
      <c r="B14" s="259" t="s">
        <v>37</v>
      </c>
      <c r="C14" s="149">
        <v>0</v>
      </c>
      <c r="D14" s="150">
        <f>IF(C14+1&lt;$C$5,C14+1,0)</f>
        <v>1</v>
      </c>
      <c r="E14" s="150">
        <f>IF(D14=0,0,(IF(D14+1&lt;$C$5,D14+1,0)))</f>
        <v>2</v>
      </c>
      <c r="F14" s="150">
        <f t="shared" ref="F14" si="4">IF(E14=0,0,(IF(E14+1&lt;$C$5,E14+1,0)))</f>
        <v>3</v>
      </c>
      <c r="G14" s="150">
        <f t="shared" ref="G14" si="5">IF(F14=0,0,(IF(F14+1&lt;$C$5,F14+1,0)))</f>
        <v>4</v>
      </c>
      <c r="H14" s="150">
        <f t="shared" ref="H14" si="6">IF(G14=0,0,(IF(G14+1&lt;$C$5,G14+1,0)))</f>
        <v>5</v>
      </c>
      <c r="I14" s="150">
        <f t="shared" ref="I14" si="7">IF(H14=0,0,(IF(H14+1&lt;$C$5,H14+1,0)))</f>
        <v>6</v>
      </c>
      <c r="J14" s="150">
        <f t="shared" ref="J14" si="8">IF(I14=0,0,(IF(I14+1&lt;$C$5,I14+1,0)))</f>
        <v>7</v>
      </c>
      <c r="K14" s="150">
        <f t="shared" ref="K14" si="9">IF(J14=0,0,(IF(J14+1&lt;$C$5,J14+1,0)))</f>
        <v>8</v>
      </c>
      <c r="L14" s="150">
        <f t="shared" ref="L14" si="10">IF(K14=0,0,(IF(K14+1&lt;$C$5,K14+1,0)))</f>
        <v>9</v>
      </c>
      <c r="M14" s="150">
        <f t="shared" ref="M14" si="11">IF(L14=0,0,(IF(L14+1&lt;$C$5,L14+1,0)))</f>
        <v>10</v>
      </c>
      <c r="N14" s="150">
        <f t="shared" ref="N14" si="12">IF(M14=0,0,(IF(M14+1&lt;$C$5,M14+1,0)))</f>
        <v>11</v>
      </c>
      <c r="O14" s="150">
        <f t="shared" ref="O14" si="13">IF(N14=0,0,(IF(N14+1&lt;$C$5,N14+1,0)))</f>
        <v>12</v>
      </c>
      <c r="P14" s="150">
        <f t="shared" ref="P14" si="14">IF(O14=0,0,(IF(O14+1&lt;$C$5,O14+1,0)))</f>
        <v>13</v>
      </c>
      <c r="Q14" s="150">
        <f t="shared" ref="Q14" si="15">IF(P14=0,0,(IF(P14+1&lt;$C$5,P14+1,0)))</f>
        <v>14</v>
      </c>
      <c r="R14" s="150">
        <f t="shared" ref="R14" si="16">IF(Q14=0,0,(IF(Q14+1&lt;$C$5,Q14+1,0)))</f>
        <v>15</v>
      </c>
      <c r="S14" s="150">
        <f t="shared" ref="S14" si="17">IF(R14=0,0,(IF(R14+1&lt;$C$5,R14+1,0)))</f>
        <v>16</v>
      </c>
      <c r="T14" s="150">
        <f t="shared" ref="T14" si="18">IF(S14=0,0,(IF(S14+1&lt;$C$5,S14+1,0)))</f>
        <v>17</v>
      </c>
      <c r="U14" s="150">
        <f t="shared" ref="U14" si="19">IF(T14=0,0,(IF(T14+1&lt;$C$5,T14+1,0)))</f>
        <v>18</v>
      </c>
      <c r="V14" s="150">
        <f t="shared" ref="V14" si="20">IF(U14=0,0,(IF(U14+1&lt;$C$5,U14+1,0)))</f>
        <v>19</v>
      </c>
      <c r="W14" s="150">
        <f t="shared" ref="W14" si="21">IF(V14=0,0,(IF(V14+1&lt;$C$5,V14+1,0)))</f>
        <v>20</v>
      </c>
      <c r="X14" s="150">
        <f t="shared" ref="X14" si="22">IF(W14=0,0,(IF(W14+1&lt;$C$5,W14+1,0)))</f>
        <v>21</v>
      </c>
      <c r="Y14" s="150">
        <f t="shared" ref="Y14" si="23">IF(X14=0,0,(IF(X14+1&lt;$C$5,X14+1,0)))</f>
        <v>22</v>
      </c>
      <c r="Z14" s="150">
        <f t="shared" ref="Z14" si="24">IF(Y14=0,0,(IF(Y14+1&lt;$C$5,Y14+1,0)))</f>
        <v>23</v>
      </c>
      <c r="AA14" s="150">
        <f t="shared" ref="AA14" si="25">IF(Z14=0,0,(IF(Z14+1&lt;$C$5,Z14+1,0)))</f>
        <v>24</v>
      </c>
    </row>
    <row r="15" spans="1:28" ht="30" x14ac:dyDescent="0.25">
      <c r="A15" s="255"/>
      <c r="B15" s="16" t="s">
        <v>222</v>
      </c>
      <c r="C15" s="150">
        <f>C9</f>
        <v>2016</v>
      </c>
      <c r="D15" s="150">
        <f>$C$9+D14</f>
        <v>2017</v>
      </c>
      <c r="E15" s="150">
        <f>IF($C$9+E14&lt;D15,0,$C$9+E14)*OR(IF(D15=0,"",$C$9+E14))</f>
        <v>2018</v>
      </c>
      <c r="F15" s="150">
        <f t="shared" ref="F15" si="26">IF($C$9+F14&lt;E15,0,$C$9+F14)*OR(IF(E15=0,0,$C$9+F14))</f>
        <v>2019</v>
      </c>
      <c r="G15" s="150">
        <f t="shared" ref="G15" si="27">IF($C$9+G14&lt;F15,0,$C$9+G14)*OR(IF(F15=0,0,$C$9+G14))</f>
        <v>2020</v>
      </c>
      <c r="H15" s="150">
        <f t="shared" ref="H15" si="28">IF($C$9+H14&lt;G15,0,$C$9+H14)*OR(IF(G15=0,0,$C$9+H14))</f>
        <v>2021</v>
      </c>
      <c r="I15" s="150">
        <f t="shared" ref="I15" si="29">IF($C$9+I14&lt;H15,0,$C$9+I14)*OR(IF(H15=0,0,$C$9+I14))</f>
        <v>2022</v>
      </c>
      <c r="J15" s="150">
        <f t="shared" ref="J15" si="30">IF($C$9+J14&lt;I15,0,$C$9+J14)*OR(IF(I15=0,0,$C$9+J14))</f>
        <v>2023</v>
      </c>
      <c r="K15" s="150">
        <f t="shared" ref="K15" si="31">IF($C$9+K14&lt;J15,0,$C$9+K14)*OR(IF(J15=0,0,$C$9+K14))</f>
        <v>2024</v>
      </c>
      <c r="L15" s="150">
        <f t="shared" ref="L15" si="32">IF($C$9+L14&lt;K15,0,$C$9+L14)*OR(IF(K15=0,0,$C$9+L14))</f>
        <v>2025</v>
      </c>
      <c r="M15" s="150">
        <f t="shared" ref="M15" si="33">IF($C$9+M14&lt;L15,0,$C$9+M14)*OR(IF(L15=0,0,$C$9+M14))</f>
        <v>2026</v>
      </c>
      <c r="N15" s="150">
        <f t="shared" ref="N15" si="34">IF($C$9+N14&lt;M15,0,$C$9+N14)*OR(IF(M15=0,0,$C$9+N14))</f>
        <v>2027</v>
      </c>
      <c r="O15" s="150">
        <f t="shared" ref="O15" si="35">IF($C$9+O14&lt;N15,0,$C$9+O14)*OR(IF(N15=0,0,$C$9+O14))</f>
        <v>2028</v>
      </c>
      <c r="P15" s="150">
        <f t="shared" ref="P15" si="36">IF($C$9+P14&lt;O15,0,$C$9+P14)*OR(IF(O15=0,0,$C$9+P14))</f>
        <v>2029</v>
      </c>
      <c r="Q15" s="150">
        <f t="shared" ref="Q15" si="37">IF($C$9+Q14&lt;P15,0,$C$9+Q14)*OR(IF(P15=0,0,$C$9+Q14))</f>
        <v>2030</v>
      </c>
      <c r="R15" s="150">
        <f t="shared" ref="R15" si="38">IF($C$9+R14&lt;Q15,0,$C$9+R14)*OR(IF(Q15=0,0,$C$9+R14))</f>
        <v>2031</v>
      </c>
      <c r="S15" s="150">
        <f t="shared" ref="S15" si="39">IF($C$9+S14&lt;R15,0,$C$9+S14)*OR(IF(R15=0,0,$C$9+S14))</f>
        <v>2032</v>
      </c>
      <c r="T15" s="150">
        <f t="shared" ref="T15" si="40">IF($C$9+T14&lt;S15,0,$C$9+T14)*OR(IF(S15=0,0,$C$9+T14))</f>
        <v>2033</v>
      </c>
      <c r="U15" s="150">
        <f t="shared" ref="U15" si="41">IF($C$9+U14&lt;T15,0,$C$9+U14)*OR(IF(T15=0,0,$C$9+U14))</f>
        <v>2034</v>
      </c>
      <c r="V15" s="150">
        <f t="shared" ref="V15" si="42">IF($C$9+V14&lt;U15,0,$C$9+V14)*OR(IF(U15=0,0,$C$9+V14))</f>
        <v>2035</v>
      </c>
      <c r="W15" s="149">
        <f t="shared" ref="W15" si="43">IF($C$9+W14&lt;V15,0,$C$9+W14)*OR(IF(V15=0,0,$C$9+W14))</f>
        <v>2036</v>
      </c>
      <c r="X15" s="150">
        <f t="shared" ref="X15" si="44">IF($C$9+X14&lt;W15,0,$C$9+X14)*OR(IF(W15=0,0,$C$9+X14))</f>
        <v>2037</v>
      </c>
      <c r="Y15" s="150">
        <f t="shared" ref="Y15" si="45">IF($C$9+Y14&lt;X15,0,$C$9+Y14)*OR(IF(X15=0,0,$C$9+Y14))</f>
        <v>2038</v>
      </c>
      <c r="Z15" s="150">
        <f t="shared" ref="Z15" si="46">IF($C$9+Z14&lt;Y15,0,$C$9+Z14)*OR(IF(Y15=0,0,$C$9+Z14))</f>
        <v>2039</v>
      </c>
      <c r="AA15" s="150">
        <f t="shared" ref="AA15" si="47">IF($C$9+AA14&lt;Z15,0,$C$9+AA14)*OR(IF(Z15=0,0,$C$9+AA14))</f>
        <v>2040</v>
      </c>
    </row>
    <row r="16" spans="1:28" ht="30" x14ac:dyDescent="0.25">
      <c r="A16" s="255"/>
      <c r="B16" s="259" t="s">
        <v>38</v>
      </c>
      <c r="C16" s="125">
        <f>ROUND(1/(1+$C$13)^C14,4)</f>
        <v>1</v>
      </c>
      <c r="D16" s="125">
        <f>IF(ROUND(1/(1+$C$13)^D14,4)&lt;C16,ROUND(1/(1+$C$13)^D14,4),0)</f>
        <v>0.95240000000000002</v>
      </c>
      <c r="E16" s="125">
        <f t="shared" ref="E16:AA16" si="48">IF(ROUND(1/(1+$C$13)^E14,4)&lt;D16,ROUND(1/(1+$C$13)^E14,4),0)</f>
        <v>0.90700000000000003</v>
      </c>
      <c r="F16" s="125">
        <f t="shared" si="48"/>
        <v>0.86380000000000001</v>
      </c>
      <c r="G16" s="125">
        <f t="shared" si="48"/>
        <v>0.82269999999999999</v>
      </c>
      <c r="H16" s="125">
        <f t="shared" si="48"/>
        <v>0.78349999999999997</v>
      </c>
      <c r="I16" s="125">
        <f t="shared" si="48"/>
        <v>0.74619999999999997</v>
      </c>
      <c r="J16" s="125">
        <f t="shared" si="48"/>
        <v>0.7107</v>
      </c>
      <c r="K16" s="125">
        <f t="shared" si="48"/>
        <v>0.67679999999999996</v>
      </c>
      <c r="L16" s="125">
        <f t="shared" si="48"/>
        <v>0.64459999999999995</v>
      </c>
      <c r="M16" s="125">
        <f t="shared" si="48"/>
        <v>0.6139</v>
      </c>
      <c r="N16" s="125">
        <f t="shared" si="48"/>
        <v>0.5847</v>
      </c>
      <c r="O16" s="125">
        <f t="shared" si="48"/>
        <v>0.55679999999999996</v>
      </c>
      <c r="P16" s="125">
        <f t="shared" si="48"/>
        <v>0.53029999999999999</v>
      </c>
      <c r="Q16" s="125">
        <f t="shared" si="48"/>
        <v>0.50509999999999999</v>
      </c>
      <c r="R16" s="125">
        <f t="shared" si="48"/>
        <v>0.48099999999999998</v>
      </c>
      <c r="S16" s="125">
        <f t="shared" si="48"/>
        <v>0.45810000000000001</v>
      </c>
      <c r="T16" s="125">
        <f t="shared" si="48"/>
        <v>0.43630000000000002</v>
      </c>
      <c r="U16" s="125">
        <f t="shared" si="48"/>
        <v>0.41549999999999998</v>
      </c>
      <c r="V16" s="125">
        <f t="shared" si="48"/>
        <v>0.3957</v>
      </c>
      <c r="W16" s="125">
        <f t="shared" si="48"/>
        <v>0.37690000000000001</v>
      </c>
      <c r="X16" s="125">
        <f t="shared" si="48"/>
        <v>0.3589</v>
      </c>
      <c r="Y16" s="125">
        <f t="shared" si="48"/>
        <v>0.34179999999999999</v>
      </c>
      <c r="Z16" s="125">
        <f t="shared" si="48"/>
        <v>0.3256</v>
      </c>
      <c r="AA16" s="125">
        <f t="shared" si="48"/>
        <v>0.31009999999999999</v>
      </c>
    </row>
    <row r="17" spans="1:27" ht="15" customHeight="1" x14ac:dyDescent="0.25">
      <c r="A17" s="255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</row>
    <row r="18" spans="1:27" ht="76.5" customHeight="1" x14ac:dyDescent="0.25">
      <c r="A18" s="331" t="s">
        <v>30</v>
      </c>
      <c r="B18" s="482" t="s">
        <v>224</v>
      </c>
      <c r="C18" s="483"/>
      <c r="D18" s="483"/>
      <c r="E18" s="483"/>
      <c r="F18" s="483"/>
      <c r="G18" s="483"/>
      <c r="H18" s="483"/>
      <c r="I18" s="483"/>
      <c r="J18" s="483"/>
      <c r="K18" s="375" t="s">
        <v>39</v>
      </c>
      <c r="L18" s="434" t="s">
        <v>404</v>
      </c>
      <c r="M18" s="450" t="s">
        <v>39</v>
      </c>
      <c r="N18" s="450" t="s">
        <v>8</v>
      </c>
      <c r="O18" s="450">
        <f>IF(K18="tak/áno",1,0)</f>
        <v>1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</row>
    <row r="19" spans="1:27" x14ac:dyDescent="0.25">
      <c r="A19" s="255"/>
      <c r="B19" s="124"/>
      <c r="C19" s="124"/>
      <c r="D19" s="124"/>
      <c r="E19" s="124"/>
      <c r="F19" s="124"/>
      <c r="G19" s="124"/>
      <c r="H19" s="124"/>
      <c r="I19" s="124"/>
      <c r="J19" s="128"/>
      <c r="K19" s="253"/>
      <c r="L19" s="68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1:27" ht="30" customHeight="1" x14ac:dyDescent="0.25">
      <c r="A20" s="255" t="s">
        <v>33</v>
      </c>
      <c r="B20" s="492" t="s">
        <v>77</v>
      </c>
      <c r="C20" s="492"/>
      <c r="D20" s="492"/>
      <c r="E20" s="124"/>
      <c r="F20" s="124"/>
      <c r="G20" s="124"/>
      <c r="H20" s="124"/>
      <c r="I20" s="124"/>
      <c r="J20" s="128"/>
      <c r="K20" s="68"/>
      <c r="L20" s="68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1:27" ht="30" x14ac:dyDescent="0.25">
      <c r="A21" s="255"/>
      <c r="B21" s="259" t="s">
        <v>78</v>
      </c>
      <c r="C21" s="376"/>
      <c r="D21" s="276" t="s">
        <v>28</v>
      </c>
      <c r="J21" s="434" t="s">
        <v>404</v>
      </c>
      <c r="K21" s="68"/>
      <c r="L21" s="68"/>
      <c r="M21" s="68"/>
      <c r="N21" s="68"/>
      <c r="O21" s="68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</row>
    <row r="22" spans="1:27" ht="30" customHeight="1" x14ac:dyDescent="0.25">
      <c r="A22" s="255"/>
      <c r="B22" s="280" t="s">
        <v>166</v>
      </c>
      <c r="C22" s="377"/>
      <c r="D22" s="276" t="s">
        <v>28</v>
      </c>
      <c r="J22" s="450" t="s">
        <v>21</v>
      </c>
      <c r="K22" s="493" t="s">
        <v>419</v>
      </c>
      <c r="L22" s="493"/>
      <c r="M22" s="493"/>
      <c r="N22" s="493"/>
      <c r="O22" s="493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7" ht="30" customHeight="1" x14ac:dyDescent="0.25">
      <c r="A23" s="255"/>
      <c r="B23" s="211" t="s">
        <v>80</v>
      </c>
      <c r="C23" s="156">
        <f>C21*C22</f>
        <v>0</v>
      </c>
      <c r="D23" s="277" t="s">
        <v>20</v>
      </c>
      <c r="E23" s="153"/>
      <c r="F23" s="153"/>
      <c r="G23" s="153"/>
      <c r="H23" s="153"/>
      <c r="I23" s="153"/>
      <c r="J23" s="450" t="s">
        <v>22</v>
      </c>
      <c r="K23" s="493" t="s">
        <v>420</v>
      </c>
      <c r="L23" s="493"/>
      <c r="M23" s="493"/>
      <c r="N23" s="493"/>
      <c r="O23" s="493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</row>
    <row r="24" spans="1:27" ht="30" customHeight="1" x14ac:dyDescent="0.25">
      <c r="A24" s="255"/>
      <c r="B24" s="211" t="s">
        <v>81</v>
      </c>
      <c r="C24" s="378"/>
      <c r="D24" s="487" t="str">
        <f>IF(C24="A",K22,IF(C24="B",K23,IF(C24="C",K24,"")))</f>
        <v/>
      </c>
      <c r="E24" s="488"/>
      <c r="F24" s="488"/>
      <c r="G24" s="488"/>
      <c r="H24" s="488"/>
      <c r="I24" s="489"/>
      <c r="J24" s="450" t="s">
        <v>23</v>
      </c>
      <c r="K24" s="493" t="s">
        <v>421</v>
      </c>
      <c r="L24" s="493"/>
      <c r="M24" s="493"/>
      <c r="N24" s="493"/>
      <c r="O24" s="493"/>
      <c r="P24" s="278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</row>
    <row r="25" spans="1:27" x14ac:dyDescent="0.25">
      <c r="A25" s="255"/>
      <c r="B25" s="124"/>
      <c r="C25" s="124"/>
      <c r="D25" s="124"/>
      <c r="E25" s="124"/>
      <c r="F25" s="124"/>
      <c r="G25" s="124"/>
      <c r="H25" s="124"/>
      <c r="I25" s="124"/>
      <c r="J25" s="68"/>
      <c r="K25" s="68"/>
      <c r="L25" s="68"/>
      <c r="M25" s="68"/>
      <c r="N25" s="68"/>
      <c r="O25" s="68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</row>
    <row r="26" spans="1:27" ht="30.75" customHeight="1" x14ac:dyDescent="0.25">
      <c r="A26" s="255" t="s">
        <v>185</v>
      </c>
      <c r="B26" s="494" t="s">
        <v>225</v>
      </c>
      <c r="C26" s="492"/>
      <c r="D26" s="492"/>
      <c r="E26" s="124"/>
      <c r="F26" s="124"/>
      <c r="G26" s="124"/>
      <c r="H26" s="124"/>
      <c r="I26" s="124"/>
      <c r="J26" s="68"/>
      <c r="K26" s="68"/>
      <c r="L26" s="68"/>
      <c r="M26" s="68"/>
      <c r="N26" s="68"/>
      <c r="O26" s="68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27" ht="30" x14ac:dyDescent="0.25">
      <c r="A27" s="12"/>
      <c r="B27" s="280" t="s">
        <v>78</v>
      </c>
      <c r="C27" s="376"/>
      <c r="D27" s="281" t="s">
        <v>28</v>
      </c>
    </row>
    <row r="28" spans="1:27" ht="30" x14ac:dyDescent="0.25">
      <c r="B28" s="280" t="s">
        <v>166</v>
      </c>
      <c r="C28" s="377"/>
      <c r="D28" s="281" t="s">
        <v>28</v>
      </c>
    </row>
    <row r="29" spans="1:27" ht="30" customHeight="1" x14ac:dyDescent="0.25">
      <c r="B29" s="202" t="s">
        <v>80</v>
      </c>
      <c r="C29" s="156">
        <f>C27*C28</f>
        <v>0</v>
      </c>
      <c r="D29" s="282" t="s">
        <v>20</v>
      </c>
      <c r="E29" s="153"/>
      <c r="F29" s="153"/>
      <c r="G29" s="153"/>
      <c r="H29" s="153"/>
      <c r="I29" s="153"/>
      <c r="J29" s="3"/>
    </row>
    <row r="30" spans="1:27" ht="30" x14ac:dyDescent="0.25">
      <c r="B30" s="202" t="s">
        <v>81</v>
      </c>
      <c r="C30" s="378"/>
      <c r="D30" s="487" t="str">
        <f>IF(C30="A",K22,IF(C30="B",K23,IF(C30="C",K24,"")))</f>
        <v/>
      </c>
      <c r="E30" s="488"/>
      <c r="F30" s="488"/>
      <c r="G30" s="488"/>
      <c r="H30" s="488"/>
      <c r="I30" s="489"/>
      <c r="J30" s="161"/>
    </row>
    <row r="32" spans="1:27" ht="75" customHeight="1" x14ac:dyDescent="0.25"/>
    <row r="33" spans="11:14" x14ac:dyDescent="0.25">
      <c r="K33" s="252"/>
      <c r="L33" s="68"/>
      <c r="M33" s="124"/>
      <c r="N33" s="124"/>
    </row>
  </sheetData>
  <sheetProtection sheet="1" objects="1" scenarios="1" formatCells="0" formatColumns="0" formatRows="0" selectLockedCells="1"/>
  <mergeCells count="11">
    <mergeCell ref="B18:J18"/>
    <mergeCell ref="C1:O1"/>
    <mergeCell ref="D24:I24"/>
    <mergeCell ref="D30:I30"/>
    <mergeCell ref="B6:O6"/>
    <mergeCell ref="B12:O12"/>
    <mergeCell ref="B20:D20"/>
    <mergeCell ref="K24:O24"/>
    <mergeCell ref="K23:O23"/>
    <mergeCell ref="K22:O22"/>
    <mergeCell ref="B26:D26"/>
  </mergeCells>
  <conditionalFormatting sqref="D8:AA9 D14:AA15">
    <cfRule type="cellIs" dxfId="52" priority="13" operator="lessThan">
      <formula>1</formula>
    </cfRule>
    <cfRule type="cellIs" dxfId="51" priority="14" operator="lessThan">
      <formula>1</formula>
    </cfRule>
  </conditionalFormatting>
  <conditionalFormatting sqref="D8:AA9 D14:AA15">
    <cfRule type="cellIs" dxfId="50" priority="9" operator="lessThan">
      <formula>1</formula>
    </cfRule>
    <cfRule type="cellIs" dxfId="49" priority="11" operator="lessThan">
      <formula>1</formula>
    </cfRule>
    <cfRule type="cellIs" dxfId="48" priority="12" operator="lessThan">
      <formula>1</formula>
    </cfRule>
  </conditionalFormatting>
  <conditionalFormatting sqref="D10 E10:AA11 D16:AA16">
    <cfRule type="cellIs" dxfId="47" priority="10" operator="lessThan">
      <formula>0.000001</formula>
    </cfRule>
  </conditionalFormatting>
  <conditionalFormatting sqref="C4">
    <cfRule type="cellIs" dxfId="46" priority="1" operator="lessThan">
      <formula>$C$3</formula>
    </cfRule>
  </conditionalFormatting>
  <dataValidations xWindow="598" yWindow="284" count="6">
    <dataValidation type="list" allowBlank="1" showInputMessage="1" showErrorMessage="1" prompt="Wybierz z listy._x000a_Vybrať zo zoznamu." sqref="K18">
      <formula1>$M$18:$N$18</formula1>
    </dataValidation>
    <dataValidation type="list" allowBlank="1" showInputMessage="1" showErrorMessage="1" prompt="Wybierz z listy._x000a_Vybrať zo zoznamu." sqref="C30 C24">
      <formula1>$J$22:$J$24</formula1>
    </dataValidation>
    <dataValidation type="list" allowBlank="1" showInputMessage="1" showErrorMessage="1" prompt="Wybierz z listy._x000a_Vybrať zo zoznamu." sqref="C3">
      <formula1>$F$3:$N$3</formula1>
    </dataValidation>
    <dataValidation type="decimal" operator="greaterThanOrEqual" allowBlank="1" showInputMessage="1" showErrorMessage="1" prompt="Podaj wartość._x000a_Zadajte hodnotu." sqref="C27:C28 C21:C22">
      <formula1>0</formula1>
    </dataValidation>
    <dataValidation type="list" allowBlank="1" showInputMessage="1" showErrorMessage="1" prompt="Wybierz z listy._x000a_Vybrať zo zoznamu." sqref="C4">
      <formula1>$F$4:$O$4</formula1>
    </dataValidation>
    <dataValidation type="textLength" operator="lessThanOrEqual" allowBlank="1" showInputMessage="1" showErrorMessage="1" error="Podaj skrócona nazwę._x000a_Max. liczba znaków = 300." prompt="Podaj nazwę._x000a_Zadajte názov." sqref="C1:O1">
      <formula1>305</formula1>
    </dataValidation>
  </dataValidations>
  <pageMargins left="0.7" right="0.7" top="0.75" bottom="0.75" header="0.3" footer="0.3"/>
  <pageSetup paperSize="9" scale="3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8" yWindow="284" count="1">
        <x14:dataValidation type="list" allowBlank="1" showInputMessage="1" showErrorMessage="1">
          <x14:formula1>
            <xm:f>Dane_Dáta!$C$6:$J$6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/>
  <dimension ref="A1:AA304"/>
  <sheetViews>
    <sheetView showGridLines="0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4.5703125" customWidth="1"/>
    <col min="2" max="2" width="45.85546875" customWidth="1"/>
    <col min="3" max="27" width="15.7109375" customWidth="1"/>
  </cols>
  <sheetData>
    <row r="1" spans="2:15" ht="30" customHeight="1" x14ac:dyDescent="0.25">
      <c r="B1" s="356" t="s">
        <v>226</v>
      </c>
      <c r="C1" s="499">
        <f>Założenia_Predpoklady!C1</f>
        <v>0</v>
      </c>
      <c r="D1" s="500"/>
      <c r="E1" s="500"/>
      <c r="F1" s="500"/>
      <c r="G1" s="500"/>
      <c r="H1" s="500"/>
      <c r="I1" s="500"/>
      <c r="J1" s="500"/>
      <c r="K1" s="501"/>
    </row>
    <row r="2" spans="2:15" x14ac:dyDescent="0.25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2:15" ht="30" x14ac:dyDescent="0.25">
      <c r="B3" s="260" t="s">
        <v>40</v>
      </c>
    </row>
    <row r="5" spans="2:15" ht="30" customHeight="1" x14ac:dyDescent="0.25">
      <c r="B5" s="505" t="s">
        <v>227</v>
      </c>
      <c r="C5" s="502" t="s">
        <v>370</v>
      </c>
      <c r="D5" s="503"/>
      <c r="E5" s="503"/>
      <c r="F5" s="503"/>
      <c r="G5" s="503"/>
      <c r="H5" s="503"/>
      <c r="I5" s="503"/>
      <c r="J5" s="504"/>
      <c r="K5" s="497" t="s">
        <v>43</v>
      </c>
    </row>
    <row r="6" spans="2:15" x14ac:dyDescent="0.25">
      <c r="B6" s="506"/>
      <c r="C6" s="254">
        <f>IF(Założenia_Predpoklady!C9&gt;Założenia_Predpoklady!$C$4,"",Założenia_Predpoklady!C9)</f>
        <v>2016</v>
      </c>
      <c r="D6" s="254">
        <f>IF(Założenia_Predpoklady!D9&gt;Założenia_Predpoklady!$C$4,"",Założenia_Predpoklady!D9)</f>
        <v>2017</v>
      </c>
      <c r="E6" s="254" t="str">
        <f>IF(Założenia_Predpoklady!E9&gt;Założenia_Predpoklady!$C$4,"",Założenia_Predpoklady!E9)</f>
        <v/>
      </c>
      <c r="F6" s="254" t="str">
        <f>IF(Założenia_Predpoklady!F9&gt;Założenia_Predpoklady!$C$4,"",Założenia_Predpoklady!F9)</f>
        <v/>
      </c>
      <c r="G6" s="254" t="str">
        <f>IF(Założenia_Predpoklady!G9&gt;Założenia_Predpoklady!$C$4,"",Założenia_Predpoklady!G9)</f>
        <v/>
      </c>
      <c r="H6" s="254" t="str">
        <f>IF(Założenia_Predpoklady!H9&gt;Założenia_Predpoklady!$C$4,"",Założenia_Predpoklady!H9)</f>
        <v/>
      </c>
      <c r="I6" s="254" t="str">
        <f>IF(Założenia_Predpoklady!I9&gt;Założenia_Predpoklady!$C$4,"",Założenia_Predpoklady!I9)</f>
        <v/>
      </c>
      <c r="J6" s="254" t="str">
        <f>IF(Założenia_Predpoklady!J9&gt;Założenia_Predpoklady!$C$4,"",Założenia_Predpoklady!J9)</f>
        <v/>
      </c>
      <c r="K6" s="498"/>
    </row>
    <row r="7" spans="2:15" ht="30" x14ac:dyDescent="0.25">
      <c r="B7" s="261" t="s">
        <v>41</v>
      </c>
      <c r="C7" s="263"/>
      <c r="D7" s="263"/>
      <c r="E7" s="263"/>
      <c r="F7" s="263"/>
      <c r="G7" s="263"/>
      <c r="H7" s="263"/>
      <c r="I7" s="263"/>
      <c r="J7" s="263"/>
      <c r="K7" s="133"/>
    </row>
    <row r="8" spans="2:15" ht="30" x14ac:dyDescent="0.25">
      <c r="B8" s="257" t="s">
        <v>228</v>
      </c>
      <c r="C8" s="379"/>
      <c r="D8" s="379"/>
      <c r="E8" s="379"/>
      <c r="F8" s="379"/>
      <c r="G8" s="379"/>
      <c r="H8" s="379"/>
      <c r="I8" s="379"/>
      <c r="J8" s="379"/>
      <c r="K8" s="179">
        <f t="shared" ref="K8:K9" si="0">SUM(C8:J8)</f>
        <v>0</v>
      </c>
    </row>
    <row r="9" spans="2:15" ht="30" x14ac:dyDescent="0.25">
      <c r="B9" s="114" t="s">
        <v>229</v>
      </c>
      <c r="C9" s="380"/>
      <c r="D9" s="380"/>
      <c r="E9" s="380"/>
      <c r="F9" s="380"/>
      <c r="G9" s="380"/>
      <c r="H9" s="380"/>
      <c r="I9" s="380"/>
      <c r="J9" s="380"/>
      <c r="K9" s="176">
        <f t="shared" si="0"/>
        <v>0</v>
      </c>
    </row>
    <row r="10" spans="2:15" ht="30" x14ac:dyDescent="0.25">
      <c r="B10" s="79" t="s">
        <v>42</v>
      </c>
      <c r="C10" s="177">
        <f t="shared" ref="C10:F10" si="1">IF(C6&gt;2000,SUM(C8:C9),0)</f>
        <v>0</v>
      </c>
      <c r="D10" s="177">
        <f t="shared" si="1"/>
        <v>0</v>
      </c>
      <c r="E10" s="177">
        <f t="shared" si="1"/>
        <v>0</v>
      </c>
      <c r="F10" s="177">
        <f t="shared" si="1"/>
        <v>0</v>
      </c>
      <c r="G10" s="177">
        <f>IF(G6&gt;2000,SUM(G8:G9),0)</f>
        <v>0</v>
      </c>
      <c r="H10" s="177">
        <f t="shared" ref="H10:J10" si="2">IF(H6&gt;2000,SUM(H8:H9),0)</f>
        <v>0</v>
      </c>
      <c r="I10" s="177">
        <f t="shared" si="2"/>
        <v>0</v>
      </c>
      <c r="J10" s="177">
        <f t="shared" si="2"/>
        <v>0</v>
      </c>
      <c r="K10" s="177">
        <f t="shared" ref="K10" si="3">SUM(K8:K9)</f>
        <v>0</v>
      </c>
    </row>
    <row r="11" spans="2:15" ht="30.75" thickBot="1" x14ac:dyDescent="0.3">
      <c r="B11" s="262" t="s">
        <v>230</v>
      </c>
      <c r="C11" s="178">
        <f t="shared" ref="C11:F11" si="4">IF(C6&gt;2000,C9,0)</f>
        <v>0</v>
      </c>
      <c r="D11" s="178">
        <f t="shared" si="4"/>
        <v>0</v>
      </c>
      <c r="E11" s="178">
        <f t="shared" si="4"/>
        <v>0</v>
      </c>
      <c r="F11" s="178">
        <f t="shared" si="4"/>
        <v>0</v>
      </c>
      <c r="G11" s="178">
        <f>IF(G6&gt;2000,G9,0)</f>
        <v>0</v>
      </c>
      <c r="H11" s="178">
        <f t="shared" ref="H11:J11" si="5">IF(H6&gt;2000,H9,0)</f>
        <v>0</v>
      </c>
      <c r="I11" s="178">
        <f t="shared" si="5"/>
        <v>0</v>
      </c>
      <c r="J11" s="178">
        <f t="shared" si="5"/>
        <v>0</v>
      </c>
      <c r="K11" s="178">
        <f t="shared" ref="K11" si="6">K9</f>
        <v>0</v>
      </c>
    </row>
    <row r="12" spans="2:15" ht="30.75" thickTop="1" x14ac:dyDescent="0.25">
      <c r="B12" s="266" t="s">
        <v>44</v>
      </c>
      <c r="C12" s="264"/>
      <c r="D12" s="264"/>
      <c r="E12" s="264"/>
      <c r="F12" s="264"/>
      <c r="G12" s="264"/>
      <c r="H12" s="264"/>
      <c r="I12" s="264"/>
      <c r="J12" s="264"/>
      <c r="K12" s="265"/>
    </row>
    <row r="13" spans="2:15" ht="30" x14ac:dyDescent="0.25">
      <c r="B13" s="114" t="s">
        <v>228</v>
      </c>
      <c r="C13" s="379"/>
      <c r="D13" s="379"/>
      <c r="E13" s="379"/>
      <c r="F13" s="379"/>
      <c r="G13" s="379"/>
      <c r="H13" s="379"/>
      <c r="I13" s="379"/>
      <c r="J13" s="379"/>
      <c r="K13" s="179">
        <f>SUM(C13:J13)</f>
        <v>0</v>
      </c>
    </row>
    <row r="14" spans="2:15" ht="30" x14ac:dyDescent="0.25">
      <c r="B14" s="257" t="s">
        <v>231</v>
      </c>
      <c r="C14" s="380"/>
      <c r="D14" s="380"/>
      <c r="E14" s="380"/>
      <c r="F14" s="380"/>
      <c r="G14" s="380"/>
      <c r="H14" s="380"/>
      <c r="I14" s="380"/>
      <c r="J14" s="380"/>
      <c r="K14" s="179">
        <f t="shared" ref="K14:K15" si="7">SUM(C14:J14)</f>
        <v>0</v>
      </c>
    </row>
    <row r="15" spans="2:15" ht="60" x14ac:dyDescent="0.25">
      <c r="B15" s="257" t="s">
        <v>232</v>
      </c>
      <c r="C15" s="380"/>
      <c r="D15" s="380"/>
      <c r="E15" s="380"/>
      <c r="F15" s="380"/>
      <c r="G15" s="380"/>
      <c r="H15" s="380"/>
      <c r="I15" s="380"/>
      <c r="J15" s="380"/>
      <c r="K15" s="179">
        <f t="shared" si="7"/>
        <v>0</v>
      </c>
    </row>
    <row r="16" spans="2:15" ht="30" x14ac:dyDescent="0.25">
      <c r="B16" s="79" t="s">
        <v>45</v>
      </c>
      <c r="C16" s="180">
        <f t="shared" ref="C16:J16" si="8">SUM(C13:C15)</f>
        <v>0</v>
      </c>
      <c r="D16" s="180">
        <f t="shared" si="8"/>
        <v>0</v>
      </c>
      <c r="E16" s="180">
        <f t="shared" si="8"/>
        <v>0</v>
      </c>
      <c r="F16" s="177">
        <f t="shared" si="8"/>
        <v>0</v>
      </c>
      <c r="G16" s="177">
        <f t="shared" si="8"/>
        <v>0</v>
      </c>
      <c r="H16" s="177">
        <f t="shared" si="8"/>
        <v>0</v>
      </c>
      <c r="I16" s="177">
        <f t="shared" si="8"/>
        <v>0</v>
      </c>
      <c r="J16" s="177">
        <f t="shared" si="8"/>
        <v>0</v>
      </c>
      <c r="K16" s="177">
        <f>SUM(K13:K15)</f>
        <v>0</v>
      </c>
    </row>
    <row r="17" spans="1:13" ht="30.75" thickBot="1" x14ac:dyDescent="0.3">
      <c r="B17" s="262" t="s">
        <v>233</v>
      </c>
      <c r="C17" s="178">
        <f>SUM(C14:C15)</f>
        <v>0</v>
      </c>
      <c r="D17" s="178">
        <f t="shared" ref="D17:K17" si="9">SUM(D14:D15)</f>
        <v>0</v>
      </c>
      <c r="E17" s="178">
        <f t="shared" si="9"/>
        <v>0</v>
      </c>
      <c r="F17" s="178">
        <f t="shared" si="9"/>
        <v>0</v>
      </c>
      <c r="G17" s="178">
        <f t="shared" si="9"/>
        <v>0</v>
      </c>
      <c r="H17" s="178">
        <f t="shared" si="9"/>
        <v>0</v>
      </c>
      <c r="I17" s="178">
        <f t="shared" si="9"/>
        <v>0</v>
      </c>
      <c r="J17" s="178">
        <f t="shared" si="9"/>
        <v>0</v>
      </c>
      <c r="K17" s="178">
        <f t="shared" si="9"/>
        <v>0</v>
      </c>
    </row>
    <row r="18" spans="1:13" ht="30.75" thickTop="1" x14ac:dyDescent="0.25">
      <c r="B18" s="267" t="s">
        <v>46</v>
      </c>
      <c r="C18" s="181">
        <f t="shared" ref="C18:J18" si="10">C10+C16</f>
        <v>0</v>
      </c>
      <c r="D18" s="181">
        <f t="shared" si="10"/>
        <v>0</v>
      </c>
      <c r="E18" s="181">
        <f t="shared" si="10"/>
        <v>0</v>
      </c>
      <c r="F18" s="181">
        <f t="shared" si="10"/>
        <v>0</v>
      </c>
      <c r="G18" s="181">
        <f t="shared" si="10"/>
        <v>0</v>
      </c>
      <c r="H18" s="181">
        <f t="shared" si="10"/>
        <v>0</v>
      </c>
      <c r="I18" s="181">
        <f t="shared" si="10"/>
        <v>0</v>
      </c>
      <c r="J18" s="181">
        <f t="shared" si="10"/>
        <v>0</v>
      </c>
      <c r="K18" s="181">
        <f>K10+K16</f>
        <v>0</v>
      </c>
    </row>
    <row r="19" spans="1:13" ht="30" x14ac:dyDescent="0.25">
      <c r="B19" s="42" t="s">
        <v>47</v>
      </c>
      <c r="C19" s="176">
        <f>C17+C11</f>
        <v>0</v>
      </c>
      <c r="D19" s="176">
        <f t="shared" ref="D19:K19" si="11">D17+D11</f>
        <v>0</v>
      </c>
      <c r="E19" s="176">
        <f t="shared" si="11"/>
        <v>0</v>
      </c>
      <c r="F19" s="176">
        <f t="shared" si="11"/>
        <v>0</v>
      </c>
      <c r="G19" s="176">
        <f t="shared" si="11"/>
        <v>0</v>
      </c>
      <c r="H19" s="176">
        <f t="shared" si="11"/>
        <v>0</v>
      </c>
      <c r="I19" s="176">
        <f t="shared" si="11"/>
        <v>0</v>
      </c>
      <c r="J19" s="176">
        <f t="shared" si="11"/>
        <v>0</v>
      </c>
      <c r="K19" s="176">
        <f t="shared" si="11"/>
        <v>0</v>
      </c>
    </row>
    <row r="20" spans="1:13" x14ac:dyDescent="0.25">
      <c r="B20" s="21"/>
      <c r="C20" s="40"/>
      <c r="D20" s="40"/>
      <c r="E20" s="40"/>
      <c r="F20" s="40"/>
      <c r="G20" s="40"/>
      <c r="H20" s="40"/>
      <c r="I20" s="40"/>
      <c r="J20" s="40"/>
      <c r="K20" s="40"/>
    </row>
    <row r="21" spans="1:13" ht="30.75" customHeight="1" x14ac:dyDescent="0.25">
      <c r="A21" s="17"/>
      <c r="B21" s="23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9"/>
    </row>
    <row r="22" spans="1:13" ht="60" customHeight="1" x14ac:dyDescent="0.25">
      <c r="A22" s="17"/>
      <c r="B22" s="22" t="s">
        <v>379</v>
      </c>
      <c r="C22" s="381"/>
      <c r="D22" s="508" t="s">
        <v>51</v>
      </c>
      <c r="E22" s="509"/>
      <c r="F22" s="509"/>
      <c r="G22" s="509"/>
      <c r="H22" s="510"/>
      <c r="I22" s="72">
        <f>IF(Założenia_Predpoklady!K18="nie","-",'Wyniki_Výsledky '!C12)</f>
        <v>0</v>
      </c>
      <c r="J22" s="73" t="s">
        <v>7</v>
      </c>
      <c r="K22" s="71">
        <f>IFERROR(ROUNDDOWN($I$22*$K$10,2),"-")</f>
        <v>0</v>
      </c>
      <c r="L22" s="9"/>
    </row>
    <row r="23" spans="1:13" ht="30" x14ac:dyDescent="0.25">
      <c r="A23" s="17"/>
      <c r="B23" s="261" t="s">
        <v>49</v>
      </c>
      <c r="C23" s="70">
        <f t="shared" ref="C23:J23" si="12">C6</f>
        <v>2016</v>
      </c>
      <c r="D23" s="70">
        <f t="shared" si="12"/>
        <v>2017</v>
      </c>
      <c r="E23" s="70" t="str">
        <f t="shared" si="12"/>
        <v/>
      </c>
      <c r="F23" s="70" t="str">
        <f t="shared" si="12"/>
        <v/>
      </c>
      <c r="G23" s="70" t="str">
        <f t="shared" si="12"/>
        <v/>
      </c>
      <c r="H23" s="70" t="str">
        <f t="shared" si="12"/>
        <v/>
      </c>
      <c r="I23" s="70" t="str">
        <f t="shared" si="12"/>
        <v/>
      </c>
      <c r="J23" s="70" t="str">
        <f t="shared" si="12"/>
        <v/>
      </c>
      <c r="K23" s="71" t="s">
        <v>43</v>
      </c>
      <c r="L23" s="9"/>
    </row>
    <row r="24" spans="1:13" ht="31.5" customHeight="1" x14ac:dyDescent="0.25">
      <c r="A24" s="17"/>
      <c r="B24" s="273" t="s">
        <v>214</v>
      </c>
      <c r="C24" s="382"/>
      <c r="D24" s="382"/>
      <c r="E24" s="382"/>
      <c r="F24" s="382"/>
      <c r="G24" s="382"/>
      <c r="H24" s="382"/>
      <c r="I24" s="382"/>
      <c r="J24" s="382"/>
      <c r="K24" s="182">
        <f>SUM(C24:J24)</f>
        <v>0</v>
      </c>
      <c r="L24" s="9"/>
    </row>
    <row r="25" spans="1:13" ht="30" x14ac:dyDescent="0.25">
      <c r="A25" s="17"/>
      <c r="B25" s="293" t="s">
        <v>50</v>
      </c>
      <c r="C25" s="382"/>
      <c r="D25" s="382"/>
      <c r="E25" s="382"/>
      <c r="F25" s="382"/>
      <c r="G25" s="382"/>
      <c r="H25" s="382"/>
      <c r="I25" s="382"/>
      <c r="J25" s="382"/>
      <c r="K25" s="182">
        <f t="shared" ref="K25:K26" si="13">SUM(C25:J25)</f>
        <v>0</v>
      </c>
      <c r="L25" s="9"/>
    </row>
    <row r="26" spans="1:13" ht="45" x14ac:dyDescent="0.25">
      <c r="A26" s="17"/>
      <c r="B26" s="293" t="s">
        <v>381</v>
      </c>
      <c r="C26" s="383"/>
      <c r="D26" s="383"/>
      <c r="E26" s="383"/>
      <c r="F26" s="383"/>
      <c r="G26" s="383"/>
      <c r="H26" s="383"/>
      <c r="I26" s="383"/>
      <c r="J26" s="383"/>
      <c r="K26" s="20">
        <f t="shared" si="13"/>
        <v>0</v>
      </c>
      <c r="L26" s="9"/>
    </row>
    <row r="27" spans="1:13" ht="30" x14ac:dyDescent="0.25">
      <c r="A27" s="17"/>
      <c r="B27" s="268" t="s">
        <v>43</v>
      </c>
      <c r="C27" s="180">
        <f>SUM(C24:C26)</f>
        <v>0</v>
      </c>
      <c r="D27" s="180">
        <f t="shared" ref="D27:K27" si="14">SUM(D24:D26)</f>
        <v>0</v>
      </c>
      <c r="E27" s="180">
        <f t="shared" si="14"/>
        <v>0</v>
      </c>
      <c r="F27" s="180">
        <f t="shared" si="14"/>
        <v>0</v>
      </c>
      <c r="G27" s="180">
        <f t="shared" si="14"/>
        <v>0</v>
      </c>
      <c r="H27" s="180">
        <f t="shared" si="14"/>
        <v>0</v>
      </c>
      <c r="I27" s="180">
        <f t="shared" si="14"/>
        <v>0</v>
      </c>
      <c r="J27" s="180">
        <f t="shared" si="14"/>
        <v>0</v>
      </c>
      <c r="K27" s="180">
        <f t="shared" si="14"/>
        <v>0</v>
      </c>
      <c r="L27" s="9"/>
    </row>
    <row r="28" spans="1:13" x14ac:dyDescent="0.25">
      <c r="A28" s="17"/>
      <c r="B28" s="46" t="str">
        <f>IF(K28=0,"","Błąd! Skoryguj finansowanie o kwotę:
Pozor! Opravte hodnotu financovania:")</f>
        <v/>
      </c>
      <c r="C28" s="183">
        <f t="shared" ref="C28:K28" si="15">C18-(C24+C25+C26)</f>
        <v>0</v>
      </c>
      <c r="D28" s="183">
        <f t="shared" si="15"/>
        <v>0</v>
      </c>
      <c r="E28" s="183">
        <f t="shared" si="15"/>
        <v>0</v>
      </c>
      <c r="F28" s="183">
        <f t="shared" si="15"/>
        <v>0</v>
      </c>
      <c r="G28" s="183">
        <f t="shared" si="15"/>
        <v>0</v>
      </c>
      <c r="H28" s="183">
        <f t="shared" si="15"/>
        <v>0</v>
      </c>
      <c r="I28" s="183">
        <f t="shared" si="15"/>
        <v>0</v>
      </c>
      <c r="J28" s="183">
        <f t="shared" si="15"/>
        <v>0</v>
      </c>
      <c r="K28" s="183">
        <f t="shared" si="15"/>
        <v>0</v>
      </c>
      <c r="L28" s="9"/>
    </row>
    <row r="29" spans="1:13" ht="15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9"/>
    </row>
    <row r="30" spans="1:13" ht="30" customHeight="1" x14ac:dyDescent="0.25">
      <c r="B30" s="269" t="s">
        <v>52</v>
      </c>
      <c r="C30" s="511" t="str">
        <f>IF(Założenia_Predpoklady!$O$18=0,"Inwestycja nie generuje przychodów - nie wypełniaj punktu dot. wartości rezydualnej.
Investícia negeneruje príjmy - opustiť bod o stanovenie zostatkovej hodnoty.","")</f>
        <v/>
      </c>
      <c r="D30" s="511"/>
      <c r="E30" s="511"/>
      <c r="F30" s="511"/>
      <c r="G30" s="511"/>
      <c r="H30" s="511"/>
      <c r="I30" s="511"/>
      <c r="J30" s="511"/>
      <c r="K30" s="511"/>
      <c r="L30" s="9"/>
      <c r="M30" s="3"/>
    </row>
    <row r="31" spans="1:13" ht="15" customHeight="1" x14ac:dyDescent="0.25">
      <c r="A31" s="11"/>
      <c r="B31" s="10"/>
      <c r="C31" s="10"/>
      <c r="D31" s="47"/>
      <c r="E31" s="10"/>
      <c r="F31" s="10"/>
      <c r="G31" s="10"/>
      <c r="H31" s="10"/>
      <c r="I31" s="10"/>
      <c r="J31" s="10"/>
      <c r="K31" s="10"/>
      <c r="L31" s="9"/>
    </row>
    <row r="32" spans="1:13" ht="30" x14ac:dyDescent="0.25">
      <c r="B32" s="384" t="s">
        <v>235</v>
      </c>
      <c r="C32" s="507" t="s">
        <v>34</v>
      </c>
      <c r="D32" s="507"/>
      <c r="E32" s="507"/>
      <c r="F32" s="507"/>
      <c r="G32" s="507"/>
      <c r="H32" s="507"/>
      <c r="I32" s="507"/>
      <c r="J32" s="507"/>
      <c r="K32" s="52"/>
      <c r="L32" s="9"/>
    </row>
    <row r="33" spans="2:27" ht="30" x14ac:dyDescent="0.25">
      <c r="B33" s="261" t="s">
        <v>49</v>
      </c>
      <c r="C33" s="53">
        <f>IF(C6&gt;Założenia_Predpoklady!$C$4,"",C6)</f>
        <v>2016</v>
      </c>
      <c r="D33" s="53">
        <f>IF(D6&gt;Założenia_Predpoklady!$C$4,"",D6)</f>
        <v>2017</v>
      </c>
      <c r="E33" s="53" t="str">
        <f>IF(E6&gt;Założenia_Predpoklady!$C$4,"",E6)</f>
        <v/>
      </c>
      <c r="F33" s="53" t="str">
        <f>IF(F6&gt;Założenia_Predpoklady!$C$4,"",F6)</f>
        <v/>
      </c>
      <c r="G33" s="53" t="str">
        <f>IF(G6&gt;Założenia_Predpoklady!$C$4,"",G6)</f>
        <v/>
      </c>
      <c r="H33" s="53" t="str">
        <f>IF(H6&gt;Założenia_Predpoklady!$C$4,"",H6)</f>
        <v/>
      </c>
      <c r="I33" s="53" t="str">
        <f>IF(I6&gt;Założenia_Predpoklady!$C$4,"",I6)</f>
        <v/>
      </c>
      <c r="J33" s="53" t="str">
        <f>IF(J6&gt;Założenia_Predpoklady!$C$4,"",J6)</f>
        <v/>
      </c>
      <c r="K33" s="54"/>
      <c r="L33" s="9"/>
    </row>
    <row r="34" spans="2:27" ht="30" x14ac:dyDescent="0.25">
      <c r="B34" s="261" t="s">
        <v>236</v>
      </c>
      <c r="C34" s="394"/>
      <c r="D34" s="394"/>
      <c r="E34" s="394"/>
      <c r="F34" s="394"/>
      <c r="G34" s="394"/>
      <c r="H34" s="394"/>
      <c r="I34" s="394"/>
      <c r="J34" s="394"/>
      <c r="K34" s="55"/>
      <c r="L34" s="9"/>
    </row>
    <row r="35" spans="2:27" ht="30" x14ac:dyDescent="0.25">
      <c r="B35" s="261" t="s">
        <v>352</v>
      </c>
      <c r="C35" s="475"/>
      <c r="D35" s="10"/>
      <c r="E35" s="10"/>
      <c r="F35" s="10"/>
      <c r="G35" s="10"/>
      <c r="H35" s="10"/>
      <c r="I35" s="10"/>
      <c r="J35" s="10"/>
      <c r="K35" s="10"/>
      <c r="L35" s="9"/>
    </row>
    <row r="36" spans="2:27" ht="60" x14ac:dyDescent="0.25">
      <c r="B36" s="272" t="s">
        <v>237</v>
      </c>
      <c r="C36" s="25">
        <f>ROUNDUP(IF(D37&gt;0,D37,0),0)</f>
        <v>0</v>
      </c>
      <c r="D36" s="10"/>
      <c r="E36" s="10"/>
      <c r="F36" s="10"/>
      <c r="G36" s="10"/>
      <c r="H36" s="10"/>
      <c r="I36" s="10"/>
      <c r="J36" s="10"/>
      <c r="K36" s="10"/>
      <c r="L36" s="9"/>
    </row>
    <row r="37" spans="2:27" ht="3" customHeight="1" x14ac:dyDescent="0.25">
      <c r="B37" s="386" t="s">
        <v>390</v>
      </c>
      <c r="C37" s="387">
        <f>SUM(C34:J34)*C35</f>
        <v>0</v>
      </c>
      <c r="D37" s="387">
        <f>(IFERROR((1/C35)-SUM(C38:AF38),0))</f>
        <v>0</v>
      </c>
      <c r="E37" s="388" t="e">
        <f>SUM(C34:J34)/$K$18</f>
        <v>#DIV/0!</v>
      </c>
      <c r="F37" s="389"/>
      <c r="G37" s="389"/>
      <c r="H37" s="389"/>
      <c r="I37" s="389"/>
      <c r="J37" s="389"/>
      <c r="K37" s="389"/>
      <c r="L37" s="390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2:27" ht="3" customHeight="1" x14ac:dyDescent="0.25">
      <c r="B38" s="68"/>
      <c r="C38" s="391">
        <f>IF(C43&gt;0,1,0)</f>
        <v>0</v>
      </c>
      <c r="D38" s="391">
        <f t="shared" ref="D38:AA38" si="16">IF(D43&gt;0,1,0)</f>
        <v>0</v>
      </c>
      <c r="E38" s="391">
        <f t="shared" si="16"/>
        <v>0</v>
      </c>
      <c r="F38" s="391">
        <f t="shared" si="16"/>
        <v>0</v>
      </c>
      <c r="G38" s="391">
        <f t="shared" si="16"/>
        <v>0</v>
      </c>
      <c r="H38" s="391">
        <f t="shared" si="16"/>
        <v>0</v>
      </c>
      <c r="I38" s="391">
        <f t="shared" si="16"/>
        <v>0</v>
      </c>
      <c r="J38" s="391">
        <f t="shared" si="16"/>
        <v>0</v>
      </c>
      <c r="K38" s="391">
        <f t="shared" si="16"/>
        <v>0</v>
      </c>
      <c r="L38" s="391">
        <f t="shared" si="16"/>
        <v>0</v>
      </c>
      <c r="M38" s="391">
        <f t="shared" si="16"/>
        <v>0</v>
      </c>
      <c r="N38" s="391">
        <f t="shared" si="16"/>
        <v>0</v>
      </c>
      <c r="O38" s="391">
        <f t="shared" si="16"/>
        <v>0</v>
      </c>
      <c r="P38" s="391">
        <f t="shared" si="16"/>
        <v>0</v>
      </c>
      <c r="Q38" s="391">
        <f t="shared" si="16"/>
        <v>0</v>
      </c>
      <c r="R38" s="391">
        <f t="shared" si="16"/>
        <v>0</v>
      </c>
      <c r="S38" s="391">
        <f t="shared" si="16"/>
        <v>0</v>
      </c>
      <c r="T38" s="391">
        <f t="shared" si="16"/>
        <v>0</v>
      </c>
      <c r="U38" s="391">
        <f t="shared" si="16"/>
        <v>0</v>
      </c>
      <c r="V38" s="391">
        <f t="shared" si="16"/>
        <v>0</v>
      </c>
      <c r="W38" s="391">
        <f t="shared" si="16"/>
        <v>0</v>
      </c>
      <c r="X38" s="391">
        <f t="shared" si="16"/>
        <v>0</v>
      </c>
      <c r="Y38" s="391">
        <f t="shared" si="16"/>
        <v>0</v>
      </c>
      <c r="Z38" s="391">
        <f t="shared" si="16"/>
        <v>0</v>
      </c>
      <c r="AA38" s="391">
        <f t="shared" si="16"/>
        <v>0</v>
      </c>
    </row>
    <row r="39" spans="2:27" ht="3" customHeight="1" x14ac:dyDescent="0.25">
      <c r="B39" s="56"/>
      <c r="C39" s="57"/>
      <c r="D39" s="10"/>
      <c r="E39" s="10"/>
      <c r="F39" s="10"/>
      <c r="G39" s="10"/>
      <c r="H39" s="10"/>
      <c r="I39" s="10"/>
      <c r="J39" s="10"/>
      <c r="K39" s="10"/>
      <c r="L39" s="9"/>
    </row>
    <row r="40" spans="2:27" ht="30" x14ac:dyDescent="0.25">
      <c r="B40" s="270" t="s">
        <v>53</v>
      </c>
      <c r="C40" s="64">
        <f>Założenia_Predpoklady!C9</f>
        <v>2016</v>
      </c>
      <c r="D40" s="64">
        <f>Założenia_Predpoklady!D9</f>
        <v>2017</v>
      </c>
      <c r="E40" s="64">
        <f>Założenia_Predpoklady!E9</f>
        <v>2018</v>
      </c>
      <c r="F40" s="64">
        <f>Założenia_Predpoklady!F9</f>
        <v>2019</v>
      </c>
      <c r="G40" s="64">
        <f>Założenia_Predpoklady!G9</f>
        <v>2020</v>
      </c>
      <c r="H40" s="64">
        <f>Założenia_Predpoklady!H9</f>
        <v>2021</v>
      </c>
      <c r="I40" s="64">
        <f>Założenia_Predpoklady!I9</f>
        <v>2022</v>
      </c>
      <c r="J40" s="64">
        <f>Założenia_Predpoklady!J9</f>
        <v>2023</v>
      </c>
      <c r="K40" s="64">
        <f>Założenia_Predpoklady!K9</f>
        <v>2024</v>
      </c>
      <c r="L40" s="64">
        <f>Założenia_Predpoklady!L9</f>
        <v>2025</v>
      </c>
      <c r="M40" s="64">
        <f>Założenia_Predpoklady!M9</f>
        <v>2026</v>
      </c>
      <c r="N40" s="64">
        <f>Założenia_Predpoklady!N9</f>
        <v>2027</v>
      </c>
      <c r="O40" s="64">
        <f>Założenia_Predpoklady!O9</f>
        <v>2028</v>
      </c>
      <c r="P40" s="64">
        <f>Założenia_Predpoklady!P9</f>
        <v>2029</v>
      </c>
      <c r="Q40" s="64">
        <f>Założenia_Predpoklady!Q9</f>
        <v>2030</v>
      </c>
      <c r="R40" s="64">
        <f>Założenia_Predpoklady!R9</f>
        <v>2031</v>
      </c>
      <c r="S40" s="64">
        <f>Założenia_Predpoklady!S9</f>
        <v>2032</v>
      </c>
      <c r="T40" s="64">
        <f>Założenia_Predpoklady!T9</f>
        <v>2033</v>
      </c>
      <c r="U40" s="64">
        <f>Założenia_Predpoklady!U9</f>
        <v>2034</v>
      </c>
      <c r="V40" s="64">
        <f>Założenia_Predpoklady!V9</f>
        <v>2035</v>
      </c>
      <c r="W40" s="64">
        <f>Założenia_Predpoklady!W9</f>
        <v>2036</v>
      </c>
      <c r="X40" s="64">
        <f>Założenia_Predpoklady!X9</f>
        <v>2037</v>
      </c>
      <c r="Y40" s="64">
        <f>Założenia_Predpoklady!Y9</f>
        <v>2038</v>
      </c>
      <c r="Z40" s="64">
        <f>Założenia_Predpoklady!Z9</f>
        <v>2039</v>
      </c>
      <c r="AA40" s="64">
        <f>Założenia_Predpoklady!AA9</f>
        <v>2040</v>
      </c>
    </row>
    <row r="41" spans="2:27" x14ac:dyDescent="0.25">
      <c r="B41" s="357" t="s">
        <v>238</v>
      </c>
      <c r="C41" s="58">
        <f>C34</f>
        <v>0</v>
      </c>
      <c r="D41" s="58">
        <f t="shared" ref="D41:J41" si="17">D34</f>
        <v>0</v>
      </c>
      <c r="E41" s="58">
        <f t="shared" si="17"/>
        <v>0</v>
      </c>
      <c r="F41" s="58">
        <f t="shared" si="17"/>
        <v>0</v>
      </c>
      <c r="G41" s="58">
        <f t="shared" si="17"/>
        <v>0</v>
      </c>
      <c r="H41" s="58">
        <f>H34</f>
        <v>0</v>
      </c>
      <c r="I41" s="58">
        <f>I34</f>
        <v>0</v>
      </c>
      <c r="J41" s="58">
        <f t="shared" si="17"/>
        <v>0</v>
      </c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</row>
    <row r="42" spans="2:27" x14ac:dyDescent="0.25">
      <c r="B42" s="130" t="s">
        <v>239</v>
      </c>
      <c r="C42" s="58">
        <v>0</v>
      </c>
      <c r="D42" s="58">
        <f>IF(D40&gt;0,IF(C41&gt;0,C41,C44),0)</f>
        <v>0</v>
      </c>
      <c r="E42" s="58">
        <f t="shared" ref="E42:AA42" si="18">IF(E40&gt;0,IF(D41&gt;0,D41,D44),0)</f>
        <v>0</v>
      </c>
      <c r="F42" s="58">
        <f t="shared" si="18"/>
        <v>0</v>
      </c>
      <c r="G42" s="58">
        <f t="shared" si="18"/>
        <v>0</v>
      </c>
      <c r="H42" s="58">
        <f t="shared" si="18"/>
        <v>0</v>
      </c>
      <c r="I42" s="58">
        <f t="shared" si="18"/>
        <v>0</v>
      </c>
      <c r="J42" s="58">
        <f t="shared" si="18"/>
        <v>0</v>
      </c>
      <c r="K42" s="58">
        <f t="shared" si="18"/>
        <v>0</v>
      </c>
      <c r="L42" s="58">
        <f t="shared" si="18"/>
        <v>0</v>
      </c>
      <c r="M42" s="58">
        <f t="shared" si="18"/>
        <v>0</v>
      </c>
      <c r="N42" s="58">
        <f t="shared" si="18"/>
        <v>0</v>
      </c>
      <c r="O42" s="58">
        <f t="shared" si="18"/>
        <v>0</v>
      </c>
      <c r="P42" s="58">
        <f t="shared" si="18"/>
        <v>0</v>
      </c>
      <c r="Q42" s="58">
        <f t="shared" si="18"/>
        <v>0</v>
      </c>
      <c r="R42" s="58">
        <f t="shared" si="18"/>
        <v>0</v>
      </c>
      <c r="S42" s="58">
        <f t="shared" si="18"/>
        <v>0</v>
      </c>
      <c r="T42" s="58">
        <f t="shared" si="18"/>
        <v>0</v>
      </c>
      <c r="U42" s="58">
        <f t="shared" si="18"/>
        <v>0</v>
      </c>
      <c r="V42" s="58">
        <f t="shared" si="18"/>
        <v>0</v>
      </c>
      <c r="W42" s="58">
        <f t="shared" si="18"/>
        <v>0</v>
      </c>
      <c r="X42" s="58">
        <f t="shared" si="18"/>
        <v>0</v>
      </c>
      <c r="Y42" s="58">
        <f t="shared" si="18"/>
        <v>0</v>
      </c>
      <c r="Z42" s="58">
        <f t="shared" si="18"/>
        <v>0</v>
      </c>
      <c r="AA42" s="58">
        <f t="shared" si="18"/>
        <v>0</v>
      </c>
    </row>
    <row r="43" spans="2:27" ht="30" x14ac:dyDescent="0.25">
      <c r="B43" s="232" t="s">
        <v>54</v>
      </c>
      <c r="C43" s="58">
        <v>0</v>
      </c>
      <c r="D43" s="58">
        <f t="shared" ref="D43:AA43" si="19">IF(D42&gt;$C$37,$C$37,D42)</f>
        <v>0</v>
      </c>
      <c r="E43" s="58">
        <f t="shared" si="19"/>
        <v>0</v>
      </c>
      <c r="F43" s="58">
        <f t="shared" si="19"/>
        <v>0</v>
      </c>
      <c r="G43" s="58">
        <f t="shared" si="19"/>
        <v>0</v>
      </c>
      <c r="H43" s="58">
        <f t="shared" si="19"/>
        <v>0</v>
      </c>
      <c r="I43" s="58">
        <f t="shared" si="19"/>
        <v>0</v>
      </c>
      <c r="J43" s="58">
        <f t="shared" si="19"/>
        <v>0</v>
      </c>
      <c r="K43" s="58">
        <f t="shared" si="19"/>
        <v>0</v>
      </c>
      <c r="L43" s="58">
        <f t="shared" si="19"/>
        <v>0</v>
      </c>
      <c r="M43" s="58">
        <f t="shared" si="19"/>
        <v>0</v>
      </c>
      <c r="N43" s="58">
        <f t="shared" si="19"/>
        <v>0</v>
      </c>
      <c r="O43" s="58">
        <f t="shared" si="19"/>
        <v>0</v>
      </c>
      <c r="P43" s="58">
        <f t="shared" si="19"/>
        <v>0</v>
      </c>
      <c r="Q43" s="58">
        <f t="shared" si="19"/>
        <v>0</v>
      </c>
      <c r="R43" s="58">
        <f t="shared" si="19"/>
        <v>0</v>
      </c>
      <c r="S43" s="58">
        <f t="shared" si="19"/>
        <v>0</v>
      </c>
      <c r="T43" s="58">
        <f t="shared" si="19"/>
        <v>0</v>
      </c>
      <c r="U43" s="58">
        <f t="shared" si="19"/>
        <v>0</v>
      </c>
      <c r="V43" s="58">
        <f t="shared" si="19"/>
        <v>0</v>
      </c>
      <c r="W43" s="58">
        <f t="shared" si="19"/>
        <v>0</v>
      </c>
      <c r="X43" s="58">
        <f t="shared" si="19"/>
        <v>0</v>
      </c>
      <c r="Y43" s="58">
        <f t="shared" si="19"/>
        <v>0</v>
      </c>
      <c r="Z43" s="58">
        <f t="shared" si="19"/>
        <v>0</v>
      </c>
      <c r="AA43" s="58">
        <f t="shared" si="19"/>
        <v>0</v>
      </c>
    </row>
    <row r="44" spans="2:27" ht="30" x14ac:dyDescent="0.25">
      <c r="B44" s="270" t="s">
        <v>55</v>
      </c>
      <c r="C44" s="58">
        <v>0</v>
      </c>
      <c r="D44" s="58">
        <f t="shared" ref="D44:F44" si="20">D42-D43</f>
        <v>0</v>
      </c>
      <c r="E44" s="58">
        <f t="shared" si="20"/>
        <v>0</v>
      </c>
      <c r="F44" s="58">
        <f t="shared" si="20"/>
        <v>0</v>
      </c>
      <c r="G44" s="58">
        <f>G42-G43</f>
        <v>0</v>
      </c>
      <c r="H44" s="58">
        <f t="shared" ref="H44:Z44" si="21">H42-H43</f>
        <v>0</v>
      </c>
      <c r="I44" s="58">
        <f t="shared" si="21"/>
        <v>0</v>
      </c>
      <c r="J44" s="58">
        <f t="shared" si="21"/>
        <v>0</v>
      </c>
      <c r="K44" s="58">
        <f t="shared" si="21"/>
        <v>0</v>
      </c>
      <c r="L44" s="58">
        <f t="shared" si="21"/>
        <v>0</v>
      </c>
      <c r="M44" s="58">
        <f t="shared" si="21"/>
        <v>0</v>
      </c>
      <c r="N44" s="58">
        <f t="shared" si="21"/>
        <v>0</v>
      </c>
      <c r="O44" s="58">
        <f t="shared" si="21"/>
        <v>0</v>
      </c>
      <c r="P44" s="58">
        <f t="shared" si="21"/>
        <v>0</v>
      </c>
      <c r="Q44" s="58">
        <f t="shared" si="21"/>
        <v>0</v>
      </c>
      <c r="R44" s="58">
        <f t="shared" si="21"/>
        <v>0</v>
      </c>
      <c r="S44" s="58">
        <f t="shared" si="21"/>
        <v>0</v>
      </c>
      <c r="T44" s="58">
        <f t="shared" si="21"/>
        <v>0</v>
      </c>
      <c r="U44" s="58">
        <f t="shared" si="21"/>
        <v>0</v>
      </c>
      <c r="V44" s="58">
        <f t="shared" si="21"/>
        <v>0</v>
      </c>
      <c r="W44" s="58">
        <f t="shared" si="21"/>
        <v>0</v>
      </c>
      <c r="X44" s="58">
        <f t="shared" si="21"/>
        <v>0</v>
      </c>
      <c r="Y44" s="58">
        <f t="shared" si="21"/>
        <v>0</v>
      </c>
      <c r="Z44" s="58">
        <f t="shared" si="21"/>
        <v>0</v>
      </c>
      <c r="AA44" s="58">
        <f t="shared" ref="AA44" si="22">AA42-AA43</f>
        <v>0</v>
      </c>
    </row>
    <row r="45" spans="2:27" ht="30" x14ac:dyDescent="0.25">
      <c r="B45" s="271" t="s">
        <v>56</v>
      </c>
      <c r="C45" s="59">
        <f>IF(D40=0,C44,0)</f>
        <v>0</v>
      </c>
      <c r="D45" s="59">
        <f>IF(E40=0,D44,0)</f>
        <v>0</v>
      </c>
      <c r="E45" s="59">
        <f t="shared" ref="E45:Y45" si="23">IF(F40=0,E44,0)</f>
        <v>0</v>
      </c>
      <c r="F45" s="59">
        <f t="shared" si="23"/>
        <v>0</v>
      </c>
      <c r="G45" s="59">
        <f t="shared" si="23"/>
        <v>0</v>
      </c>
      <c r="H45" s="59">
        <f t="shared" si="23"/>
        <v>0</v>
      </c>
      <c r="I45" s="59">
        <f t="shared" si="23"/>
        <v>0</v>
      </c>
      <c r="J45" s="59">
        <f t="shared" si="23"/>
        <v>0</v>
      </c>
      <c r="K45" s="59">
        <f t="shared" si="23"/>
        <v>0</v>
      </c>
      <c r="L45" s="59">
        <f t="shared" si="23"/>
        <v>0</v>
      </c>
      <c r="M45" s="59">
        <f t="shared" si="23"/>
        <v>0</v>
      </c>
      <c r="N45" s="59">
        <f t="shared" si="23"/>
        <v>0</v>
      </c>
      <c r="O45" s="59">
        <f t="shared" si="23"/>
        <v>0</v>
      </c>
      <c r="P45" s="59">
        <f t="shared" si="23"/>
        <v>0</v>
      </c>
      <c r="Q45" s="59">
        <f t="shared" si="23"/>
        <v>0</v>
      </c>
      <c r="R45" s="59">
        <f t="shared" si="23"/>
        <v>0</v>
      </c>
      <c r="S45" s="59">
        <f t="shared" si="23"/>
        <v>0</v>
      </c>
      <c r="T45" s="59">
        <f t="shared" si="23"/>
        <v>0</v>
      </c>
      <c r="U45" s="59">
        <f t="shared" si="23"/>
        <v>0</v>
      </c>
      <c r="V45" s="59">
        <f t="shared" si="23"/>
        <v>0</v>
      </c>
      <c r="W45" s="59">
        <f t="shared" si="23"/>
        <v>0</v>
      </c>
      <c r="X45" s="59">
        <f t="shared" si="23"/>
        <v>0</v>
      </c>
      <c r="Y45" s="59">
        <f t="shared" si="23"/>
        <v>0</v>
      </c>
      <c r="Z45" s="59">
        <f>IF(AA40=0,Z44,0)</f>
        <v>0</v>
      </c>
      <c r="AA45" s="59">
        <f>IF(AB40=0,AA44,0)</f>
        <v>0</v>
      </c>
    </row>
    <row r="46" spans="2:27" x14ac:dyDescent="0.25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2:27" ht="30" x14ac:dyDescent="0.25">
      <c r="B47" s="384" t="s">
        <v>240</v>
      </c>
      <c r="C47" s="507" t="s">
        <v>34</v>
      </c>
      <c r="D47" s="507"/>
      <c r="E47" s="507"/>
      <c r="F47" s="507"/>
      <c r="G47" s="507"/>
      <c r="H47" s="507"/>
      <c r="I47" s="507"/>
      <c r="J47" s="507"/>
      <c r="K47" s="52"/>
      <c r="L47" s="9"/>
    </row>
    <row r="48" spans="2:27" ht="30" x14ac:dyDescent="0.25">
      <c r="B48" s="261" t="s">
        <v>49</v>
      </c>
      <c r="C48" s="53">
        <f>C33</f>
        <v>2016</v>
      </c>
      <c r="D48" s="53">
        <f t="shared" ref="D48:J48" si="24">D33</f>
        <v>2017</v>
      </c>
      <c r="E48" s="53" t="str">
        <f t="shared" si="24"/>
        <v/>
      </c>
      <c r="F48" s="53" t="str">
        <f t="shared" si="24"/>
        <v/>
      </c>
      <c r="G48" s="53" t="str">
        <f t="shared" si="24"/>
        <v/>
      </c>
      <c r="H48" s="53" t="str">
        <f t="shared" si="24"/>
        <v/>
      </c>
      <c r="I48" s="53" t="str">
        <f t="shared" si="24"/>
        <v/>
      </c>
      <c r="J48" s="53" t="str">
        <f t="shared" si="24"/>
        <v/>
      </c>
      <c r="K48" s="61"/>
      <c r="L48" s="9"/>
    </row>
    <row r="49" spans="2:27" ht="30" x14ac:dyDescent="0.25">
      <c r="B49" s="261" t="s">
        <v>241</v>
      </c>
      <c r="C49" s="394"/>
      <c r="D49" s="394"/>
      <c r="E49" s="394"/>
      <c r="F49" s="476"/>
      <c r="G49" s="394"/>
      <c r="H49" s="394"/>
      <c r="I49" s="394"/>
      <c r="J49" s="394"/>
      <c r="K49" s="62"/>
      <c r="L49" s="9"/>
    </row>
    <row r="50" spans="2:27" ht="30" x14ac:dyDescent="0.25">
      <c r="B50" s="261" t="s">
        <v>352</v>
      </c>
      <c r="C50" s="475"/>
      <c r="D50" s="10"/>
      <c r="E50" s="10"/>
      <c r="F50" s="10"/>
      <c r="G50" s="10"/>
      <c r="H50" s="10"/>
      <c r="I50" s="10"/>
      <c r="J50" s="10"/>
      <c r="K50" s="10"/>
      <c r="L50" s="9"/>
    </row>
    <row r="51" spans="2:27" ht="60" x14ac:dyDescent="0.25">
      <c r="B51" s="272" t="s">
        <v>237</v>
      </c>
      <c r="C51" s="25">
        <f>ROUNDUP(IF(D52&gt;0,D52,0),0)</f>
        <v>0</v>
      </c>
      <c r="D51" s="10"/>
      <c r="E51" s="10"/>
      <c r="F51" s="10"/>
      <c r="G51" s="10"/>
      <c r="H51" s="10"/>
      <c r="I51" s="10"/>
      <c r="J51" s="10"/>
      <c r="K51" s="10"/>
      <c r="L51" s="9"/>
    </row>
    <row r="52" spans="2:27" ht="3" customHeight="1" x14ac:dyDescent="0.25">
      <c r="B52" s="386" t="s">
        <v>390</v>
      </c>
      <c r="C52" s="387">
        <f>SUM(C49:J49)*C50</f>
        <v>0</v>
      </c>
      <c r="D52" s="387">
        <f>(IFERROR((1/C50)-SUM(C53:AF53),0))</f>
        <v>0</v>
      </c>
      <c r="E52" s="388" t="e">
        <f>SUM(C49:J49)/$K$18</f>
        <v>#DIV/0!</v>
      </c>
      <c r="F52" s="389"/>
      <c r="G52" s="389"/>
      <c r="H52" s="389"/>
      <c r="I52" s="389"/>
      <c r="J52" s="389"/>
      <c r="K52" s="389"/>
      <c r="L52" s="390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</row>
    <row r="53" spans="2:27" ht="3" customHeight="1" x14ac:dyDescent="0.25">
      <c r="B53" s="68"/>
      <c r="C53" s="391">
        <f>IF(C58&gt;0,1,0)</f>
        <v>0</v>
      </c>
      <c r="D53" s="391">
        <f t="shared" ref="D53:AA53" si="25">IF(D58&gt;0,1,0)</f>
        <v>0</v>
      </c>
      <c r="E53" s="391">
        <f t="shared" si="25"/>
        <v>0</v>
      </c>
      <c r="F53" s="391">
        <f t="shared" si="25"/>
        <v>0</v>
      </c>
      <c r="G53" s="391">
        <f t="shared" si="25"/>
        <v>0</v>
      </c>
      <c r="H53" s="391">
        <f t="shared" si="25"/>
        <v>0</v>
      </c>
      <c r="I53" s="391">
        <f t="shared" si="25"/>
        <v>0</v>
      </c>
      <c r="J53" s="391">
        <f t="shared" si="25"/>
        <v>0</v>
      </c>
      <c r="K53" s="391">
        <f t="shared" si="25"/>
        <v>0</v>
      </c>
      <c r="L53" s="391">
        <f t="shared" si="25"/>
        <v>0</v>
      </c>
      <c r="M53" s="391">
        <f t="shared" si="25"/>
        <v>0</v>
      </c>
      <c r="N53" s="391">
        <f t="shared" si="25"/>
        <v>0</v>
      </c>
      <c r="O53" s="391">
        <f t="shared" si="25"/>
        <v>0</v>
      </c>
      <c r="P53" s="391">
        <f t="shared" si="25"/>
        <v>0</v>
      </c>
      <c r="Q53" s="391">
        <f t="shared" si="25"/>
        <v>0</v>
      </c>
      <c r="R53" s="391">
        <f t="shared" si="25"/>
        <v>0</v>
      </c>
      <c r="S53" s="391">
        <f t="shared" si="25"/>
        <v>0</v>
      </c>
      <c r="T53" s="391">
        <f t="shared" si="25"/>
        <v>0</v>
      </c>
      <c r="U53" s="391">
        <f t="shared" si="25"/>
        <v>0</v>
      </c>
      <c r="V53" s="391">
        <f t="shared" si="25"/>
        <v>0</v>
      </c>
      <c r="W53" s="391">
        <f t="shared" si="25"/>
        <v>0</v>
      </c>
      <c r="X53" s="391">
        <f t="shared" si="25"/>
        <v>0</v>
      </c>
      <c r="Y53" s="391">
        <f t="shared" si="25"/>
        <v>0</v>
      </c>
      <c r="Z53" s="391">
        <f t="shared" si="25"/>
        <v>0</v>
      </c>
      <c r="AA53" s="391">
        <f t="shared" si="25"/>
        <v>0</v>
      </c>
    </row>
    <row r="54" spans="2:27" ht="3" customHeight="1" x14ac:dyDescent="0.25">
      <c r="B54" s="392"/>
      <c r="C54" s="393"/>
      <c r="D54" s="389"/>
      <c r="E54" s="389"/>
      <c r="F54" s="389"/>
      <c r="G54" s="389"/>
      <c r="H54" s="389"/>
      <c r="I54" s="389"/>
      <c r="J54" s="389"/>
      <c r="K54" s="389"/>
      <c r="L54" s="390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2:27" ht="30" x14ac:dyDescent="0.25">
      <c r="B55" s="270" t="s">
        <v>53</v>
      </c>
      <c r="C55" s="64">
        <f>Założenia_Predpoklady!C9</f>
        <v>2016</v>
      </c>
      <c r="D55" s="64">
        <f>Założenia_Predpoklady!D9</f>
        <v>2017</v>
      </c>
      <c r="E55" s="64">
        <f>Założenia_Predpoklady!E9</f>
        <v>2018</v>
      </c>
      <c r="F55" s="64">
        <f>Założenia_Predpoklady!F9</f>
        <v>2019</v>
      </c>
      <c r="G55" s="64">
        <f>Założenia_Predpoklady!G9</f>
        <v>2020</v>
      </c>
      <c r="H55" s="64">
        <f>Założenia_Predpoklady!H9</f>
        <v>2021</v>
      </c>
      <c r="I55" s="64">
        <f>Założenia_Predpoklady!I9</f>
        <v>2022</v>
      </c>
      <c r="J55" s="64">
        <f>Założenia_Predpoklady!J9</f>
        <v>2023</v>
      </c>
      <c r="K55" s="64">
        <f>Założenia_Predpoklady!K9</f>
        <v>2024</v>
      </c>
      <c r="L55" s="64">
        <f>Założenia_Predpoklady!L9</f>
        <v>2025</v>
      </c>
      <c r="M55" s="64">
        <f>Założenia_Predpoklady!M9</f>
        <v>2026</v>
      </c>
      <c r="N55" s="64">
        <f>Założenia_Predpoklady!N9</f>
        <v>2027</v>
      </c>
      <c r="O55" s="64">
        <f>Założenia_Predpoklady!O9</f>
        <v>2028</v>
      </c>
      <c r="P55" s="64">
        <f>Założenia_Predpoklady!P9</f>
        <v>2029</v>
      </c>
      <c r="Q55" s="64">
        <f>Założenia_Predpoklady!Q9</f>
        <v>2030</v>
      </c>
      <c r="R55" s="64">
        <f>Założenia_Predpoklady!R9</f>
        <v>2031</v>
      </c>
      <c r="S55" s="64">
        <f>Założenia_Predpoklady!S9</f>
        <v>2032</v>
      </c>
      <c r="T55" s="64">
        <f>Założenia_Predpoklady!T9</f>
        <v>2033</v>
      </c>
      <c r="U55" s="64">
        <f>Założenia_Predpoklady!U9</f>
        <v>2034</v>
      </c>
      <c r="V55" s="64">
        <f>Założenia_Predpoklady!V9</f>
        <v>2035</v>
      </c>
      <c r="W55" s="64">
        <f>Założenia_Predpoklady!W9</f>
        <v>2036</v>
      </c>
      <c r="X55" s="64">
        <f>Założenia_Predpoklady!X9</f>
        <v>2037</v>
      </c>
      <c r="Y55" s="64">
        <f>Założenia_Predpoklady!Y9</f>
        <v>2038</v>
      </c>
      <c r="Z55" s="64">
        <f>Założenia_Predpoklady!Z9</f>
        <v>2039</v>
      </c>
      <c r="AA55" s="64">
        <f>Założenia_Predpoklady!AA9</f>
        <v>2040</v>
      </c>
    </row>
    <row r="56" spans="2:27" ht="30" x14ac:dyDescent="0.25">
      <c r="B56" s="358" t="s">
        <v>244</v>
      </c>
      <c r="C56" s="58">
        <f>C49</f>
        <v>0</v>
      </c>
      <c r="D56" s="58">
        <f t="shared" ref="D56:J56" si="26">D49</f>
        <v>0</v>
      </c>
      <c r="E56" s="58">
        <f t="shared" si="26"/>
        <v>0</v>
      </c>
      <c r="F56" s="58">
        <f t="shared" si="26"/>
        <v>0</v>
      </c>
      <c r="G56" s="58">
        <f t="shared" si="26"/>
        <v>0</v>
      </c>
      <c r="H56" s="58">
        <f t="shared" si="26"/>
        <v>0</v>
      </c>
      <c r="I56" s="58">
        <f t="shared" si="26"/>
        <v>0</v>
      </c>
      <c r="J56" s="58">
        <f t="shared" si="26"/>
        <v>0</v>
      </c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</row>
    <row r="57" spans="2:27" ht="30" x14ac:dyDescent="0.25">
      <c r="B57" s="270" t="s">
        <v>245</v>
      </c>
      <c r="C57" s="58">
        <v>0</v>
      </c>
      <c r="D57" s="58">
        <f>IF(D55&gt;0,IF(C56&gt;0,C56,C59),0)</f>
        <v>0</v>
      </c>
      <c r="E57" s="58">
        <f t="shared" ref="E57:AA57" si="27">IF(E55&gt;0,IF(D56&gt;0,D56,D59),0)</f>
        <v>0</v>
      </c>
      <c r="F57" s="58">
        <f t="shared" si="27"/>
        <v>0</v>
      </c>
      <c r="G57" s="58">
        <f t="shared" si="27"/>
        <v>0</v>
      </c>
      <c r="H57" s="58">
        <f t="shared" si="27"/>
        <v>0</v>
      </c>
      <c r="I57" s="58">
        <f t="shared" si="27"/>
        <v>0</v>
      </c>
      <c r="J57" s="58">
        <f t="shared" si="27"/>
        <v>0</v>
      </c>
      <c r="K57" s="58">
        <f t="shared" si="27"/>
        <v>0</v>
      </c>
      <c r="L57" s="58">
        <f t="shared" si="27"/>
        <v>0</v>
      </c>
      <c r="M57" s="58">
        <f t="shared" si="27"/>
        <v>0</v>
      </c>
      <c r="N57" s="58">
        <f t="shared" si="27"/>
        <v>0</v>
      </c>
      <c r="O57" s="58">
        <f t="shared" si="27"/>
        <v>0</v>
      </c>
      <c r="P57" s="58">
        <f t="shared" si="27"/>
        <v>0</v>
      </c>
      <c r="Q57" s="58">
        <f t="shared" si="27"/>
        <v>0</v>
      </c>
      <c r="R57" s="58">
        <f t="shared" si="27"/>
        <v>0</v>
      </c>
      <c r="S57" s="58">
        <f t="shared" si="27"/>
        <v>0</v>
      </c>
      <c r="T57" s="58">
        <f t="shared" si="27"/>
        <v>0</v>
      </c>
      <c r="U57" s="58">
        <f t="shared" si="27"/>
        <v>0</v>
      </c>
      <c r="V57" s="58">
        <f t="shared" si="27"/>
        <v>0</v>
      </c>
      <c r="W57" s="58">
        <f t="shared" si="27"/>
        <v>0</v>
      </c>
      <c r="X57" s="58">
        <f t="shared" si="27"/>
        <v>0</v>
      </c>
      <c r="Y57" s="58">
        <f t="shared" si="27"/>
        <v>0</v>
      </c>
      <c r="Z57" s="58">
        <f t="shared" si="27"/>
        <v>0</v>
      </c>
      <c r="AA57" s="58">
        <f t="shared" si="27"/>
        <v>0</v>
      </c>
    </row>
    <row r="58" spans="2:27" ht="30" x14ac:dyDescent="0.25">
      <c r="B58" s="232" t="s">
        <v>54</v>
      </c>
      <c r="C58" s="58">
        <v>0</v>
      </c>
      <c r="D58" s="58">
        <f>IF(D57&gt;$C$37,$C$37,D57)</f>
        <v>0</v>
      </c>
      <c r="E58" s="58">
        <f>IF(E57&gt;$C$52,$C$52,E57)</f>
        <v>0</v>
      </c>
      <c r="F58" s="58">
        <f t="shared" ref="F58:Z58" si="28">IF(F57&gt;$C$52,$C$52,F57)</f>
        <v>0</v>
      </c>
      <c r="G58" s="58">
        <f t="shared" si="28"/>
        <v>0</v>
      </c>
      <c r="H58" s="58">
        <f t="shared" si="28"/>
        <v>0</v>
      </c>
      <c r="I58" s="58">
        <f t="shared" si="28"/>
        <v>0</v>
      </c>
      <c r="J58" s="58">
        <f t="shared" si="28"/>
        <v>0</v>
      </c>
      <c r="K58" s="58">
        <f t="shared" si="28"/>
        <v>0</v>
      </c>
      <c r="L58" s="58">
        <f t="shared" si="28"/>
        <v>0</v>
      </c>
      <c r="M58" s="58">
        <f t="shared" si="28"/>
        <v>0</v>
      </c>
      <c r="N58" s="58">
        <f t="shared" si="28"/>
        <v>0</v>
      </c>
      <c r="O58" s="58">
        <f t="shared" si="28"/>
        <v>0</v>
      </c>
      <c r="P58" s="58">
        <f t="shared" si="28"/>
        <v>0</v>
      </c>
      <c r="Q58" s="58">
        <f t="shared" si="28"/>
        <v>0</v>
      </c>
      <c r="R58" s="58">
        <f t="shared" si="28"/>
        <v>0</v>
      </c>
      <c r="S58" s="58">
        <f t="shared" si="28"/>
        <v>0</v>
      </c>
      <c r="T58" s="58">
        <f t="shared" si="28"/>
        <v>0</v>
      </c>
      <c r="U58" s="58">
        <f t="shared" si="28"/>
        <v>0</v>
      </c>
      <c r="V58" s="58">
        <f t="shared" si="28"/>
        <v>0</v>
      </c>
      <c r="W58" s="58">
        <f t="shared" si="28"/>
        <v>0</v>
      </c>
      <c r="X58" s="58">
        <f t="shared" si="28"/>
        <v>0</v>
      </c>
      <c r="Y58" s="58">
        <f t="shared" si="28"/>
        <v>0</v>
      </c>
      <c r="Z58" s="58">
        <f t="shared" si="28"/>
        <v>0</v>
      </c>
      <c r="AA58" s="58">
        <f t="shared" ref="AA58" si="29">IF(AA57&gt;$C$52,$C$52,AA57)</f>
        <v>0</v>
      </c>
    </row>
    <row r="59" spans="2:27" ht="30" x14ac:dyDescent="0.25">
      <c r="B59" s="270" t="s">
        <v>57</v>
      </c>
      <c r="C59" s="58">
        <v>0</v>
      </c>
      <c r="D59" s="58">
        <f t="shared" ref="D59:F59" si="30">D57-D58</f>
        <v>0</v>
      </c>
      <c r="E59" s="58">
        <f t="shared" si="30"/>
        <v>0</v>
      </c>
      <c r="F59" s="58">
        <f t="shared" si="30"/>
        <v>0</v>
      </c>
      <c r="G59" s="58">
        <f>G57-G58</f>
        <v>0</v>
      </c>
      <c r="H59" s="58">
        <f t="shared" ref="H59:Z59" si="31">H57-H58</f>
        <v>0</v>
      </c>
      <c r="I59" s="58">
        <f t="shared" si="31"/>
        <v>0</v>
      </c>
      <c r="J59" s="58">
        <f t="shared" si="31"/>
        <v>0</v>
      </c>
      <c r="K59" s="58">
        <f t="shared" si="31"/>
        <v>0</v>
      </c>
      <c r="L59" s="58">
        <f t="shared" si="31"/>
        <v>0</v>
      </c>
      <c r="M59" s="58">
        <f t="shared" si="31"/>
        <v>0</v>
      </c>
      <c r="N59" s="58">
        <f t="shared" si="31"/>
        <v>0</v>
      </c>
      <c r="O59" s="58">
        <f t="shared" si="31"/>
        <v>0</v>
      </c>
      <c r="P59" s="58">
        <f t="shared" si="31"/>
        <v>0</v>
      </c>
      <c r="Q59" s="58">
        <f t="shared" si="31"/>
        <v>0</v>
      </c>
      <c r="R59" s="58">
        <f t="shared" si="31"/>
        <v>0</v>
      </c>
      <c r="S59" s="58">
        <f t="shared" si="31"/>
        <v>0</v>
      </c>
      <c r="T59" s="58">
        <f t="shared" si="31"/>
        <v>0</v>
      </c>
      <c r="U59" s="58">
        <f t="shared" si="31"/>
        <v>0</v>
      </c>
      <c r="V59" s="58">
        <f t="shared" si="31"/>
        <v>0</v>
      </c>
      <c r="W59" s="58">
        <f t="shared" si="31"/>
        <v>0</v>
      </c>
      <c r="X59" s="58">
        <f t="shared" si="31"/>
        <v>0</v>
      </c>
      <c r="Y59" s="58">
        <f t="shared" si="31"/>
        <v>0</v>
      </c>
      <c r="Z59" s="58">
        <f t="shared" si="31"/>
        <v>0</v>
      </c>
      <c r="AA59" s="58">
        <f t="shared" ref="AA59" si="32">AA57-AA58</f>
        <v>0</v>
      </c>
    </row>
    <row r="60" spans="2:27" ht="30" x14ac:dyDescent="0.25">
      <c r="B60" s="271" t="s">
        <v>58</v>
      </c>
      <c r="C60" s="59">
        <f>IF(D55=0,C59,0)</f>
        <v>0</v>
      </c>
      <c r="D60" s="59">
        <f>IF(E55=0,D59,0)</f>
        <v>0</v>
      </c>
      <c r="E60" s="59">
        <f t="shared" ref="E60:Y60" si="33">IF(F55=0,E59,0)</f>
        <v>0</v>
      </c>
      <c r="F60" s="59">
        <f t="shared" si="33"/>
        <v>0</v>
      </c>
      <c r="G60" s="59">
        <f t="shared" si="33"/>
        <v>0</v>
      </c>
      <c r="H60" s="59">
        <f t="shared" si="33"/>
        <v>0</v>
      </c>
      <c r="I60" s="59">
        <f t="shared" si="33"/>
        <v>0</v>
      </c>
      <c r="J60" s="59">
        <f t="shared" si="33"/>
        <v>0</v>
      </c>
      <c r="K60" s="59">
        <f t="shared" si="33"/>
        <v>0</v>
      </c>
      <c r="L60" s="59">
        <f t="shared" si="33"/>
        <v>0</v>
      </c>
      <c r="M60" s="59">
        <f t="shared" si="33"/>
        <v>0</v>
      </c>
      <c r="N60" s="59">
        <f t="shared" si="33"/>
        <v>0</v>
      </c>
      <c r="O60" s="59">
        <f t="shared" si="33"/>
        <v>0</v>
      </c>
      <c r="P60" s="59">
        <f t="shared" si="33"/>
        <v>0</v>
      </c>
      <c r="Q60" s="59">
        <f t="shared" si="33"/>
        <v>0</v>
      </c>
      <c r="R60" s="59">
        <f t="shared" si="33"/>
        <v>0</v>
      </c>
      <c r="S60" s="59">
        <f t="shared" si="33"/>
        <v>0</v>
      </c>
      <c r="T60" s="59">
        <f t="shared" si="33"/>
        <v>0</v>
      </c>
      <c r="U60" s="59">
        <f t="shared" si="33"/>
        <v>0</v>
      </c>
      <c r="V60" s="59">
        <f t="shared" si="33"/>
        <v>0</v>
      </c>
      <c r="W60" s="59">
        <f t="shared" si="33"/>
        <v>0</v>
      </c>
      <c r="X60" s="59">
        <f t="shared" si="33"/>
        <v>0</v>
      </c>
      <c r="Y60" s="59">
        <f t="shared" si="33"/>
        <v>0</v>
      </c>
      <c r="Z60" s="59">
        <f>IF(AA55=0,Z59,0)</f>
        <v>0</v>
      </c>
      <c r="AA60" s="59">
        <f>IF(AB55=0,AA59,0)</f>
        <v>0</v>
      </c>
    </row>
    <row r="61" spans="2:27" x14ac:dyDescent="0.25"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</row>
    <row r="62" spans="2:27" ht="30" x14ac:dyDescent="0.25">
      <c r="B62" s="384" t="s">
        <v>242</v>
      </c>
      <c r="C62" s="507" t="s">
        <v>34</v>
      </c>
      <c r="D62" s="507"/>
      <c r="E62" s="507"/>
      <c r="F62" s="507"/>
      <c r="G62" s="507"/>
      <c r="H62" s="507"/>
      <c r="I62" s="507"/>
      <c r="J62" s="507"/>
      <c r="K62" s="10"/>
      <c r="L62" s="9"/>
    </row>
    <row r="63" spans="2:27" ht="30" x14ac:dyDescent="0.25">
      <c r="B63" s="272" t="s">
        <v>49</v>
      </c>
      <c r="C63" s="133">
        <f>C33</f>
        <v>2016</v>
      </c>
      <c r="D63" s="133">
        <f t="shared" ref="D63:J63" si="34">D33</f>
        <v>2017</v>
      </c>
      <c r="E63" s="133" t="str">
        <f t="shared" si="34"/>
        <v/>
      </c>
      <c r="F63" s="133" t="str">
        <f t="shared" si="34"/>
        <v/>
      </c>
      <c r="G63" s="133" t="str">
        <f t="shared" si="34"/>
        <v/>
      </c>
      <c r="H63" s="133" t="str">
        <f t="shared" si="34"/>
        <v/>
      </c>
      <c r="I63" s="133" t="str">
        <f t="shared" si="34"/>
        <v/>
      </c>
      <c r="J63" s="133" t="str">
        <f t="shared" si="34"/>
        <v/>
      </c>
      <c r="K63" s="61"/>
      <c r="L63" s="9"/>
    </row>
    <row r="64" spans="2:27" ht="30" x14ac:dyDescent="0.25">
      <c r="B64" s="134" t="s">
        <v>243</v>
      </c>
      <c r="C64" s="394"/>
      <c r="D64" s="394"/>
      <c r="E64" s="394"/>
      <c r="F64" s="394"/>
      <c r="G64" s="394"/>
      <c r="H64" s="394"/>
      <c r="I64" s="394"/>
      <c r="J64" s="394"/>
      <c r="K64" s="62"/>
      <c r="L64" s="9"/>
    </row>
    <row r="65" spans="2:27" ht="30" x14ac:dyDescent="0.25">
      <c r="B65" s="272" t="s">
        <v>352</v>
      </c>
      <c r="C65" s="475"/>
      <c r="D65" s="10"/>
      <c r="E65" s="10"/>
      <c r="F65" s="10"/>
      <c r="G65" s="10"/>
      <c r="H65" s="10"/>
      <c r="I65" s="10"/>
      <c r="J65" s="10"/>
      <c r="K65" s="10"/>
      <c r="L65" s="9"/>
    </row>
    <row r="66" spans="2:27" ht="60" x14ac:dyDescent="0.25">
      <c r="B66" s="272" t="s">
        <v>237</v>
      </c>
      <c r="C66" s="25">
        <f>ROUNDUP(IF(D67&gt;0,D67,0),0)</f>
        <v>0</v>
      </c>
      <c r="D66" s="10"/>
      <c r="E66" s="10"/>
      <c r="F66" s="10"/>
      <c r="G66" s="10"/>
      <c r="H66" s="10"/>
      <c r="I66" s="10"/>
      <c r="J66" s="10"/>
      <c r="K66" s="10"/>
      <c r="L66" s="9"/>
    </row>
    <row r="67" spans="2:27" ht="3" customHeight="1" x14ac:dyDescent="0.25">
      <c r="B67" s="386" t="s">
        <v>390</v>
      </c>
      <c r="C67" s="387">
        <f>SUM(C64:J64)*C65</f>
        <v>0</v>
      </c>
      <c r="D67" s="387">
        <f>(IFERROR((1/C65)-SUM(C68:AF68),0))</f>
        <v>0</v>
      </c>
      <c r="E67" s="388" t="e">
        <f>SUM(C64:J64)/$K$18</f>
        <v>#DIV/0!</v>
      </c>
      <c r="F67" s="389"/>
      <c r="G67" s="389"/>
      <c r="H67" s="389"/>
      <c r="I67" s="389"/>
      <c r="J67" s="389"/>
      <c r="K67" s="389"/>
      <c r="L67" s="390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</row>
    <row r="68" spans="2:27" ht="3" customHeight="1" x14ac:dyDescent="0.25">
      <c r="B68" s="68"/>
      <c r="C68" s="391">
        <f>IF(C73&gt;0,1,0)</f>
        <v>0</v>
      </c>
      <c r="D68" s="391">
        <f t="shared" ref="D68:AA68" si="35">IF(D73&gt;0,1,0)</f>
        <v>0</v>
      </c>
      <c r="E68" s="391">
        <f t="shared" si="35"/>
        <v>0</v>
      </c>
      <c r="F68" s="391">
        <f t="shared" si="35"/>
        <v>0</v>
      </c>
      <c r="G68" s="391">
        <f t="shared" si="35"/>
        <v>0</v>
      </c>
      <c r="H68" s="391">
        <f t="shared" si="35"/>
        <v>0</v>
      </c>
      <c r="I68" s="391">
        <f t="shared" si="35"/>
        <v>0</v>
      </c>
      <c r="J68" s="391">
        <f t="shared" si="35"/>
        <v>0</v>
      </c>
      <c r="K68" s="391">
        <f t="shared" si="35"/>
        <v>0</v>
      </c>
      <c r="L68" s="391">
        <f t="shared" si="35"/>
        <v>0</v>
      </c>
      <c r="M68" s="391">
        <f t="shared" si="35"/>
        <v>0</v>
      </c>
      <c r="N68" s="391">
        <f t="shared" si="35"/>
        <v>0</v>
      </c>
      <c r="O68" s="391">
        <f t="shared" si="35"/>
        <v>0</v>
      </c>
      <c r="P68" s="391">
        <f t="shared" si="35"/>
        <v>0</v>
      </c>
      <c r="Q68" s="391">
        <f t="shared" si="35"/>
        <v>0</v>
      </c>
      <c r="R68" s="391">
        <f t="shared" si="35"/>
        <v>0</v>
      </c>
      <c r="S68" s="391">
        <f t="shared" si="35"/>
        <v>0</v>
      </c>
      <c r="T68" s="391">
        <f t="shared" si="35"/>
        <v>0</v>
      </c>
      <c r="U68" s="391">
        <f t="shared" si="35"/>
        <v>0</v>
      </c>
      <c r="V68" s="391">
        <f t="shared" si="35"/>
        <v>0</v>
      </c>
      <c r="W68" s="391">
        <f t="shared" si="35"/>
        <v>0</v>
      </c>
      <c r="X68" s="391">
        <f t="shared" si="35"/>
        <v>0</v>
      </c>
      <c r="Y68" s="391">
        <f t="shared" si="35"/>
        <v>0</v>
      </c>
      <c r="Z68" s="391">
        <f t="shared" si="35"/>
        <v>0</v>
      </c>
      <c r="AA68" s="391">
        <f t="shared" si="35"/>
        <v>0</v>
      </c>
    </row>
    <row r="69" spans="2:27" x14ac:dyDescent="0.25">
      <c r="B69" s="56"/>
      <c r="C69" s="57"/>
      <c r="D69" s="10"/>
      <c r="E69" s="10"/>
      <c r="F69" s="10"/>
      <c r="G69" s="10"/>
      <c r="H69" s="10"/>
      <c r="I69" s="10"/>
      <c r="J69" s="10"/>
      <c r="K69" s="10"/>
      <c r="L69" s="9"/>
    </row>
    <row r="70" spans="2:27" ht="30" x14ac:dyDescent="0.25">
      <c r="B70" s="273" t="s">
        <v>53</v>
      </c>
      <c r="C70" s="131">
        <f>Założenia_Predpoklady!C9</f>
        <v>2016</v>
      </c>
      <c r="D70" s="64">
        <f>Założenia_Predpoklady!D9</f>
        <v>2017</v>
      </c>
      <c r="E70" s="64">
        <f>Założenia_Predpoklady!E9</f>
        <v>2018</v>
      </c>
      <c r="F70" s="64">
        <f>Założenia_Predpoklady!F9</f>
        <v>2019</v>
      </c>
      <c r="G70" s="64">
        <f>Założenia_Predpoklady!G9</f>
        <v>2020</v>
      </c>
      <c r="H70" s="64">
        <f>Założenia_Predpoklady!H9</f>
        <v>2021</v>
      </c>
      <c r="I70" s="64">
        <f>Założenia_Predpoklady!I9</f>
        <v>2022</v>
      </c>
      <c r="J70" s="64">
        <f>Założenia_Predpoklady!J9</f>
        <v>2023</v>
      </c>
      <c r="K70" s="64">
        <f>Założenia_Predpoklady!K9</f>
        <v>2024</v>
      </c>
      <c r="L70" s="64">
        <f>Założenia_Predpoklady!L9</f>
        <v>2025</v>
      </c>
      <c r="M70" s="64">
        <f>Założenia_Predpoklady!M9</f>
        <v>2026</v>
      </c>
      <c r="N70" s="64">
        <f>Założenia_Predpoklady!N9</f>
        <v>2027</v>
      </c>
      <c r="O70" s="64">
        <f>Założenia_Predpoklady!O9</f>
        <v>2028</v>
      </c>
      <c r="P70" s="64">
        <f>Założenia_Predpoklady!P9</f>
        <v>2029</v>
      </c>
      <c r="Q70" s="64">
        <f>Założenia_Predpoklady!Q9</f>
        <v>2030</v>
      </c>
      <c r="R70" s="64">
        <f>Założenia_Predpoklady!R9</f>
        <v>2031</v>
      </c>
      <c r="S70" s="64">
        <f>Założenia_Predpoklady!S9</f>
        <v>2032</v>
      </c>
      <c r="T70" s="64">
        <f>Założenia_Predpoklady!T9</f>
        <v>2033</v>
      </c>
      <c r="U70" s="64">
        <f>Założenia_Predpoklady!U9</f>
        <v>2034</v>
      </c>
      <c r="V70" s="64">
        <f>Założenia_Predpoklady!V9</f>
        <v>2035</v>
      </c>
      <c r="W70" s="64">
        <f>Założenia_Predpoklady!W9</f>
        <v>2036</v>
      </c>
      <c r="X70" s="64">
        <f>Założenia_Predpoklady!X9</f>
        <v>2037</v>
      </c>
      <c r="Y70" s="64">
        <f>Założenia_Predpoklady!Y9</f>
        <v>2038</v>
      </c>
      <c r="Z70" s="64">
        <f>Założenia_Predpoklady!Z9</f>
        <v>2039</v>
      </c>
      <c r="AA70" s="64">
        <f>Założenia_Predpoklady!AA9</f>
        <v>2040</v>
      </c>
    </row>
    <row r="71" spans="2:27" ht="30" x14ac:dyDescent="0.25">
      <c r="B71" s="211" t="s">
        <v>244</v>
      </c>
      <c r="C71" s="132">
        <f>C64</f>
        <v>0</v>
      </c>
      <c r="D71" s="58">
        <f t="shared" ref="D71:K71" si="36">D64</f>
        <v>0</v>
      </c>
      <c r="E71" s="58">
        <f t="shared" si="36"/>
        <v>0</v>
      </c>
      <c r="F71" s="58">
        <f t="shared" si="36"/>
        <v>0</v>
      </c>
      <c r="G71" s="58">
        <f t="shared" si="36"/>
        <v>0</v>
      </c>
      <c r="H71" s="58">
        <f t="shared" si="36"/>
        <v>0</v>
      </c>
      <c r="I71" s="58">
        <f t="shared" si="36"/>
        <v>0</v>
      </c>
      <c r="J71" s="58">
        <f t="shared" si="36"/>
        <v>0</v>
      </c>
      <c r="K71" s="58">
        <f t="shared" si="36"/>
        <v>0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2:27" ht="30" x14ac:dyDescent="0.25">
      <c r="B72" s="273" t="s">
        <v>245</v>
      </c>
      <c r="C72" s="132">
        <v>0</v>
      </c>
      <c r="D72" s="58">
        <f>IF(D70&gt;0,IF(C71&gt;0,C71,C74),0)</f>
        <v>0</v>
      </c>
      <c r="E72" s="58">
        <f>IF(E70&gt;0,IF(D71&gt;0,D71,D74),0)</f>
        <v>0</v>
      </c>
      <c r="F72" s="58">
        <f t="shared" ref="F72:AA72" si="37">IF(F70&gt;0,IF(E71&gt;0,E71,E74),0)</f>
        <v>0</v>
      </c>
      <c r="G72" s="58">
        <f t="shared" si="37"/>
        <v>0</v>
      </c>
      <c r="H72" s="58">
        <f t="shared" si="37"/>
        <v>0</v>
      </c>
      <c r="I72" s="58">
        <f t="shared" si="37"/>
        <v>0</v>
      </c>
      <c r="J72" s="58">
        <f t="shared" si="37"/>
        <v>0</v>
      </c>
      <c r="K72" s="58">
        <f t="shared" si="37"/>
        <v>0</v>
      </c>
      <c r="L72" s="58">
        <f t="shared" si="37"/>
        <v>0</v>
      </c>
      <c r="M72" s="58">
        <f t="shared" si="37"/>
        <v>0</v>
      </c>
      <c r="N72" s="58">
        <f t="shared" si="37"/>
        <v>0</v>
      </c>
      <c r="O72" s="58">
        <f t="shared" si="37"/>
        <v>0</v>
      </c>
      <c r="P72" s="58">
        <f t="shared" si="37"/>
        <v>0</v>
      </c>
      <c r="Q72" s="58">
        <f t="shared" si="37"/>
        <v>0</v>
      </c>
      <c r="R72" s="58">
        <f t="shared" si="37"/>
        <v>0</v>
      </c>
      <c r="S72" s="58">
        <f t="shared" si="37"/>
        <v>0</v>
      </c>
      <c r="T72" s="58">
        <f t="shared" si="37"/>
        <v>0</v>
      </c>
      <c r="U72" s="58">
        <f t="shared" si="37"/>
        <v>0</v>
      </c>
      <c r="V72" s="58">
        <f t="shared" si="37"/>
        <v>0</v>
      </c>
      <c r="W72" s="58">
        <f t="shared" si="37"/>
        <v>0</v>
      </c>
      <c r="X72" s="58">
        <f t="shared" si="37"/>
        <v>0</v>
      </c>
      <c r="Y72" s="58">
        <f t="shared" si="37"/>
        <v>0</v>
      </c>
      <c r="Z72" s="58">
        <f t="shared" si="37"/>
        <v>0</v>
      </c>
      <c r="AA72" s="58">
        <f t="shared" si="37"/>
        <v>0</v>
      </c>
    </row>
    <row r="73" spans="2:27" ht="30" x14ac:dyDescent="0.25">
      <c r="B73" s="16" t="s">
        <v>54</v>
      </c>
      <c r="C73" s="132">
        <f>IF(C72&gt;$C$67,$C$67,C72)</f>
        <v>0</v>
      </c>
      <c r="D73" s="58">
        <f t="shared" ref="D73" si="38">IF(D72&gt;$C$67,$C$67,D72)</f>
        <v>0</v>
      </c>
      <c r="E73" s="58">
        <f>IF(E72&gt;$C$67,$C$67,E72)</f>
        <v>0</v>
      </c>
      <c r="F73" s="58">
        <f t="shared" ref="F73:Z73" si="39">IF(F72&gt;$C$67,$C$67,F72)</f>
        <v>0</v>
      </c>
      <c r="G73" s="58">
        <f t="shared" si="39"/>
        <v>0</v>
      </c>
      <c r="H73" s="58">
        <f t="shared" si="39"/>
        <v>0</v>
      </c>
      <c r="I73" s="58">
        <f t="shared" si="39"/>
        <v>0</v>
      </c>
      <c r="J73" s="58">
        <f t="shared" si="39"/>
        <v>0</v>
      </c>
      <c r="K73" s="58">
        <f t="shared" si="39"/>
        <v>0</v>
      </c>
      <c r="L73" s="58">
        <f t="shared" si="39"/>
        <v>0</v>
      </c>
      <c r="M73" s="58">
        <f t="shared" si="39"/>
        <v>0</v>
      </c>
      <c r="N73" s="58">
        <f t="shared" si="39"/>
        <v>0</v>
      </c>
      <c r="O73" s="58">
        <f t="shared" si="39"/>
        <v>0</v>
      </c>
      <c r="P73" s="58">
        <f t="shared" si="39"/>
        <v>0</v>
      </c>
      <c r="Q73" s="58">
        <f t="shared" si="39"/>
        <v>0</v>
      </c>
      <c r="R73" s="58">
        <f t="shared" si="39"/>
        <v>0</v>
      </c>
      <c r="S73" s="58">
        <f t="shared" si="39"/>
        <v>0</v>
      </c>
      <c r="T73" s="58">
        <f t="shared" si="39"/>
        <v>0</v>
      </c>
      <c r="U73" s="58">
        <f t="shared" si="39"/>
        <v>0</v>
      </c>
      <c r="V73" s="58">
        <f t="shared" si="39"/>
        <v>0</v>
      </c>
      <c r="W73" s="58">
        <f t="shared" si="39"/>
        <v>0</v>
      </c>
      <c r="X73" s="58">
        <f t="shared" si="39"/>
        <v>0</v>
      </c>
      <c r="Y73" s="58">
        <f t="shared" si="39"/>
        <v>0</v>
      </c>
      <c r="Z73" s="58">
        <f t="shared" si="39"/>
        <v>0</v>
      </c>
      <c r="AA73" s="58">
        <f t="shared" ref="AA73" si="40">IF(AA72&gt;$C$67,$C$67,AA72)</f>
        <v>0</v>
      </c>
    </row>
    <row r="74" spans="2:27" ht="30" x14ac:dyDescent="0.25">
      <c r="B74" s="270" t="s">
        <v>59</v>
      </c>
      <c r="C74" s="58">
        <v>0</v>
      </c>
      <c r="D74" s="58">
        <f t="shared" ref="D74" si="41">D72-D73</f>
        <v>0</v>
      </c>
      <c r="E74" s="58">
        <f>E72-E73</f>
        <v>0</v>
      </c>
      <c r="F74" s="58">
        <f t="shared" ref="F74" si="42">F72-F73</f>
        <v>0</v>
      </c>
      <c r="G74" s="58">
        <f>G72-G73</f>
        <v>0</v>
      </c>
      <c r="H74" s="58">
        <f t="shared" ref="H74:Z74" si="43">H72-H73</f>
        <v>0</v>
      </c>
      <c r="I74" s="58">
        <f t="shared" si="43"/>
        <v>0</v>
      </c>
      <c r="J74" s="58">
        <f t="shared" si="43"/>
        <v>0</v>
      </c>
      <c r="K74" s="58">
        <f t="shared" si="43"/>
        <v>0</v>
      </c>
      <c r="L74" s="58">
        <f t="shared" si="43"/>
        <v>0</v>
      </c>
      <c r="M74" s="58">
        <f t="shared" si="43"/>
        <v>0</v>
      </c>
      <c r="N74" s="58">
        <f t="shared" si="43"/>
        <v>0</v>
      </c>
      <c r="O74" s="58">
        <f t="shared" si="43"/>
        <v>0</v>
      </c>
      <c r="P74" s="58">
        <f t="shared" si="43"/>
        <v>0</v>
      </c>
      <c r="Q74" s="58">
        <f t="shared" si="43"/>
        <v>0</v>
      </c>
      <c r="R74" s="58">
        <f t="shared" si="43"/>
        <v>0</v>
      </c>
      <c r="S74" s="58">
        <f t="shared" si="43"/>
        <v>0</v>
      </c>
      <c r="T74" s="58">
        <f t="shared" si="43"/>
        <v>0</v>
      </c>
      <c r="U74" s="58">
        <f t="shared" si="43"/>
        <v>0</v>
      </c>
      <c r="V74" s="58">
        <f t="shared" si="43"/>
        <v>0</v>
      </c>
      <c r="W74" s="58">
        <f t="shared" si="43"/>
        <v>0</v>
      </c>
      <c r="X74" s="58">
        <f t="shared" si="43"/>
        <v>0</v>
      </c>
      <c r="Y74" s="58">
        <f t="shared" si="43"/>
        <v>0</v>
      </c>
      <c r="Z74" s="58">
        <f t="shared" si="43"/>
        <v>0</v>
      </c>
      <c r="AA74" s="58">
        <f t="shared" ref="AA74" si="44">AA72-AA73</f>
        <v>0</v>
      </c>
    </row>
    <row r="75" spans="2:27" ht="30" x14ac:dyDescent="0.25">
      <c r="B75" s="271" t="s">
        <v>60</v>
      </c>
      <c r="C75" s="59">
        <f>IF(D70=0,C74,0)</f>
        <v>0</v>
      </c>
      <c r="D75" s="59">
        <f>IF(E70=0,D74,0)</f>
        <v>0</v>
      </c>
      <c r="E75" s="59">
        <f t="shared" ref="E75:AA75" si="45">IF(F70=0,E74,0)</f>
        <v>0</v>
      </c>
      <c r="F75" s="59">
        <f t="shared" si="45"/>
        <v>0</v>
      </c>
      <c r="G75" s="59">
        <f t="shared" si="45"/>
        <v>0</v>
      </c>
      <c r="H75" s="59">
        <f t="shared" si="45"/>
        <v>0</v>
      </c>
      <c r="I75" s="59">
        <f t="shared" si="45"/>
        <v>0</v>
      </c>
      <c r="J75" s="59">
        <f t="shared" si="45"/>
        <v>0</v>
      </c>
      <c r="K75" s="59">
        <f t="shared" si="45"/>
        <v>0</v>
      </c>
      <c r="L75" s="59">
        <f t="shared" si="45"/>
        <v>0</v>
      </c>
      <c r="M75" s="59">
        <f t="shared" si="45"/>
        <v>0</v>
      </c>
      <c r="N75" s="59">
        <f t="shared" si="45"/>
        <v>0</v>
      </c>
      <c r="O75" s="59">
        <f t="shared" si="45"/>
        <v>0</v>
      </c>
      <c r="P75" s="59">
        <f t="shared" si="45"/>
        <v>0</v>
      </c>
      <c r="Q75" s="59">
        <f t="shared" si="45"/>
        <v>0</v>
      </c>
      <c r="R75" s="59">
        <f t="shared" si="45"/>
        <v>0</v>
      </c>
      <c r="S75" s="59">
        <f t="shared" si="45"/>
        <v>0</v>
      </c>
      <c r="T75" s="59">
        <f t="shared" si="45"/>
        <v>0</v>
      </c>
      <c r="U75" s="59">
        <f t="shared" si="45"/>
        <v>0</v>
      </c>
      <c r="V75" s="63">
        <f t="shared" si="45"/>
        <v>0</v>
      </c>
      <c r="W75" s="59">
        <f t="shared" si="45"/>
        <v>0</v>
      </c>
      <c r="X75" s="59">
        <f t="shared" si="45"/>
        <v>0</v>
      </c>
      <c r="Y75" s="59">
        <f t="shared" si="45"/>
        <v>0</v>
      </c>
      <c r="Z75" s="59">
        <f>IF(AA70=0,Z74,0)</f>
        <v>0</v>
      </c>
      <c r="AA75" s="59">
        <f t="shared" si="45"/>
        <v>0</v>
      </c>
    </row>
    <row r="76" spans="2:27" x14ac:dyDescent="0.25">
      <c r="C76" s="3"/>
      <c r="D76" s="3"/>
      <c r="E76" s="3"/>
      <c r="F76" s="3"/>
      <c r="G76" s="3"/>
      <c r="H76" s="3"/>
      <c r="I76" s="3"/>
      <c r="J76" s="3"/>
      <c r="K76" s="3"/>
    </row>
    <row r="77" spans="2:27" ht="30.75" customHeight="1" x14ac:dyDescent="0.25">
      <c r="B77" s="495" t="str">
        <f>IF((SUM(C64:J64)+SUM(C49:J49)+SUM(C34:J34))&gt;K18,"Uwaga! Suma wartości środków trwałych jest większa od wartości całkowitej inwestycji.
Upozornenie! Celková hodnota majetku je vyššia ako celková hodnota tejto investície.","")</f>
        <v/>
      </c>
      <c r="C77" s="495"/>
      <c r="D77" s="495"/>
      <c r="E77" s="495"/>
      <c r="F77" s="495"/>
      <c r="G77" s="351">
        <f>IF(Założenia_Predpoklady!K18="nie",0,((SUM(C64:J64)+SUM(C49:J49)+SUM(C34:J34))-K18))</f>
        <v>0</v>
      </c>
      <c r="H77" s="495">
        <f>IF(G77=0,0,IF((SUM(C64:J64)+SUM(C49:J49)+SUM(C34:J34))&lt;K18,"Uwaga! Suma wartości środków trwałych jest mniejsza od wartości całkowitej inwestycji.
Upozornenie! Celková hodnota majetku je menej ako celková hodnota tejto investície.",""))</f>
        <v>0</v>
      </c>
      <c r="I77" s="495"/>
      <c r="J77" s="495"/>
      <c r="K77" s="495"/>
      <c r="L77" s="495"/>
      <c r="M77" s="495"/>
      <c r="N77" s="495"/>
      <c r="O77" s="495"/>
      <c r="P77" s="495"/>
      <c r="Q77" s="495"/>
    </row>
    <row r="78" spans="2:27" ht="30" x14ac:dyDescent="0.25">
      <c r="B78" s="260" t="s">
        <v>234</v>
      </c>
    </row>
    <row r="79" spans="2:27" x14ac:dyDescent="0.25">
      <c r="B79" s="512" t="s">
        <v>61</v>
      </c>
      <c r="C79" s="512"/>
      <c r="D79" s="512"/>
      <c r="E79" s="512"/>
      <c r="F79" s="512"/>
      <c r="G79" s="515" t="s">
        <v>211</v>
      </c>
      <c r="H79" s="515"/>
      <c r="I79" s="515"/>
      <c r="J79" s="515"/>
      <c r="K79" s="515"/>
      <c r="L79" s="515"/>
      <c r="M79" s="298"/>
      <c r="N79" s="298"/>
      <c r="O79" s="298"/>
      <c r="P79" s="467"/>
      <c r="S79" s="298"/>
      <c r="T79" s="298"/>
      <c r="U79" s="298"/>
      <c r="V79" s="298"/>
      <c r="W79" s="298"/>
    </row>
    <row r="80" spans="2:27" ht="32.25" customHeight="1" x14ac:dyDescent="0.25">
      <c r="B80" s="513" t="s">
        <v>62</v>
      </c>
      <c r="C80" s="513"/>
      <c r="D80" s="513"/>
      <c r="E80" s="513"/>
      <c r="F80" s="513"/>
      <c r="G80" s="514" t="s">
        <v>246</v>
      </c>
      <c r="H80" s="514"/>
      <c r="I80" s="514"/>
      <c r="J80" s="514"/>
      <c r="K80" s="514"/>
      <c r="L80" s="514"/>
      <c r="M80" s="468"/>
      <c r="N80" s="468"/>
      <c r="O80" s="468"/>
      <c r="P80" s="467"/>
      <c r="S80" s="46"/>
      <c r="T80" s="46"/>
      <c r="U80" s="46"/>
      <c r="V80" s="46"/>
      <c r="W80" s="46"/>
    </row>
    <row r="81" spans="2:27" x14ac:dyDescent="0.25">
      <c r="C81" s="3"/>
      <c r="D81" s="3"/>
      <c r="E81" s="3"/>
      <c r="F81" s="3"/>
      <c r="G81" s="3"/>
      <c r="H81" s="3"/>
      <c r="I81" s="3"/>
      <c r="J81" s="3"/>
      <c r="K81" s="3"/>
    </row>
    <row r="82" spans="2:27" ht="30" x14ac:dyDescent="0.25">
      <c r="B82" s="261" t="s">
        <v>49</v>
      </c>
      <c r="C82" s="151">
        <f>Założenia_Predpoklady!C9</f>
        <v>2016</v>
      </c>
      <c r="D82" s="151">
        <f>Założenia_Predpoklady!D9</f>
        <v>2017</v>
      </c>
      <c r="E82" s="151">
        <f>Założenia_Predpoklady!E9</f>
        <v>2018</v>
      </c>
      <c r="F82" s="151">
        <f>Założenia_Predpoklady!F9</f>
        <v>2019</v>
      </c>
      <c r="G82" s="151">
        <f>Założenia_Predpoklady!G9</f>
        <v>2020</v>
      </c>
      <c r="H82" s="151">
        <f>Założenia_Predpoklady!H9</f>
        <v>2021</v>
      </c>
      <c r="I82" s="151">
        <f>Założenia_Predpoklady!I9</f>
        <v>2022</v>
      </c>
      <c r="J82" s="151">
        <f>Założenia_Predpoklady!J9</f>
        <v>2023</v>
      </c>
      <c r="K82" s="151">
        <f>Założenia_Predpoklady!K9</f>
        <v>2024</v>
      </c>
      <c r="L82" s="151">
        <f>Założenia_Predpoklady!L9</f>
        <v>2025</v>
      </c>
      <c r="M82" s="151">
        <f>Założenia_Predpoklady!M9</f>
        <v>2026</v>
      </c>
      <c r="N82" s="151">
        <f>Założenia_Predpoklady!N9</f>
        <v>2027</v>
      </c>
      <c r="O82" s="151">
        <f>Założenia_Predpoklady!O9</f>
        <v>2028</v>
      </c>
      <c r="P82" s="151">
        <f>Założenia_Predpoklady!P9</f>
        <v>2029</v>
      </c>
      <c r="Q82" s="151">
        <f>Założenia_Predpoklady!Q9</f>
        <v>2030</v>
      </c>
      <c r="R82" s="151">
        <f>Założenia_Predpoklady!R9</f>
        <v>2031</v>
      </c>
      <c r="S82" s="151">
        <f>Założenia_Predpoklady!S9</f>
        <v>2032</v>
      </c>
      <c r="T82" s="151">
        <f>Założenia_Predpoklady!T9</f>
        <v>2033</v>
      </c>
      <c r="U82" s="151">
        <f>Założenia_Predpoklady!U9</f>
        <v>2034</v>
      </c>
      <c r="V82" s="151">
        <f>Założenia_Predpoklady!V9</f>
        <v>2035</v>
      </c>
      <c r="W82" s="151">
        <f>Założenia_Predpoklady!W9</f>
        <v>2036</v>
      </c>
      <c r="X82" s="151">
        <f>Założenia_Predpoklady!X9</f>
        <v>2037</v>
      </c>
      <c r="Y82" s="151">
        <f>Założenia_Predpoklady!Y9</f>
        <v>2038</v>
      </c>
      <c r="Z82" s="151">
        <f>Założenia_Predpoklady!Z9</f>
        <v>2039</v>
      </c>
      <c r="AA82" s="151">
        <f>Założenia_Predpoklady!AA9</f>
        <v>2040</v>
      </c>
    </row>
    <row r="83" spans="2:27" ht="30" x14ac:dyDescent="0.25">
      <c r="B83" s="274" t="s">
        <v>247</v>
      </c>
      <c r="C83" s="223">
        <f>C73+C58+C43</f>
        <v>0</v>
      </c>
      <c r="D83" s="223">
        <f t="shared" ref="D83:Z83" si="46">D73+D58+D43</f>
        <v>0</v>
      </c>
      <c r="E83" s="223">
        <f t="shared" si="46"/>
        <v>0</v>
      </c>
      <c r="F83" s="223">
        <f t="shared" si="46"/>
        <v>0</v>
      </c>
      <c r="G83" s="223">
        <f t="shared" si="46"/>
        <v>0</v>
      </c>
      <c r="H83" s="223">
        <f t="shared" si="46"/>
        <v>0</v>
      </c>
      <c r="I83" s="223">
        <f t="shared" si="46"/>
        <v>0</v>
      </c>
      <c r="J83" s="223">
        <f t="shared" si="46"/>
        <v>0</v>
      </c>
      <c r="K83" s="223">
        <f t="shared" si="46"/>
        <v>0</v>
      </c>
      <c r="L83" s="223">
        <f t="shared" si="46"/>
        <v>0</v>
      </c>
      <c r="M83" s="223">
        <f t="shared" si="46"/>
        <v>0</v>
      </c>
      <c r="N83" s="223">
        <f t="shared" si="46"/>
        <v>0</v>
      </c>
      <c r="O83" s="223">
        <f t="shared" si="46"/>
        <v>0</v>
      </c>
      <c r="P83" s="223">
        <f t="shared" si="46"/>
        <v>0</v>
      </c>
      <c r="Q83" s="223">
        <f t="shared" si="46"/>
        <v>0</v>
      </c>
      <c r="R83" s="223">
        <f t="shared" si="46"/>
        <v>0</v>
      </c>
      <c r="S83" s="223">
        <f t="shared" si="46"/>
        <v>0</v>
      </c>
      <c r="T83" s="223">
        <f t="shared" si="46"/>
        <v>0</v>
      </c>
      <c r="U83" s="223">
        <f t="shared" si="46"/>
        <v>0</v>
      </c>
      <c r="V83" s="223">
        <f t="shared" si="46"/>
        <v>0</v>
      </c>
      <c r="W83" s="223">
        <f t="shared" si="46"/>
        <v>0</v>
      </c>
      <c r="X83" s="223">
        <f t="shared" si="46"/>
        <v>0</v>
      </c>
      <c r="Y83" s="223">
        <f t="shared" si="46"/>
        <v>0</v>
      </c>
      <c r="Z83" s="223">
        <f t="shared" si="46"/>
        <v>0</v>
      </c>
      <c r="AA83" s="223">
        <f t="shared" ref="AA83" si="47">AA73+AA58+AA43</f>
        <v>0</v>
      </c>
    </row>
    <row r="84" spans="2:27" ht="30" x14ac:dyDescent="0.25">
      <c r="B84" s="345" t="s">
        <v>63</v>
      </c>
      <c r="C84" s="223">
        <f>IF(Założenia_Predpoklady!$O$18=0,0,C75+C60+C45)</f>
        <v>0</v>
      </c>
      <c r="D84" s="223">
        <f>IF(Założenia_Predpoklady!$O$18=0,0,D75+D60+D45)</f>
        <v>0</v>
      </c>
      <c r="E84" s="223">
        <f>IF(Założenia_Predpoklady!$O$18=0,0,E75+E60+E45)</f>
        <v>0</v>
      </c>
      <c r="F84" s="223">
        <f>IF(Założenia_Predpoklady!$O$18=0,0,F75+F60+F45)</f>
        <v>0</v>
      </c>
      <c r="G84" s="223">
        <f>IF(Założenia_Predpoklady!$O$18=0,0,G75+G60+G45)</f>
        <v>0</v>
      </c>
      <c r="H84" s="223">
        <f>IF(Założenia_Predpoklady!$O$18=0,0,H75+H60+H45)</f>
        <v>0</v>
      </c>
      <c r="I84" s="223">
        <f>IF(Założenia_Predpoklady!$O$18=0,0,I75+I60+I45)</f>
        <v>0</v>
      </c>
      <c r="J84" s="223">
        <f>IF(Założenia_Predpoklady!$O$18=0,0,J75+J60+J45)</f>
        <v>0</v>
      </c>
      <c r="K84" s="223">
        <f>IF(Założenia_Predpoklady!$O$18=0,0,K75+K60+K45)</f>
        <v>0</v>
      </c>
      <c r="L84" s="223">
        <f>IF(Założenia_Predpoklady!$O$18=0,0,L75+L60+L45)</f>
        <v>0</v>
      </c>
      <c r="M84" s="223">
        <f>IF(Założenia_Predpoklady!$O$18=0,0,M75+M60+M45)</f>
        <v>0</v>
      </c>
      <c r="N84" s="223">
        <f>IF(Założenia_Predpoklady!$O$18=0,0,N75+N60+N45)</f>
        <v>0</v>
      </c>
      <c r="O84" s="223">
        <f>IF(Założenia_Predpoklady!$O$18=0,0,O75+O60+O45)</f>
        <v>0</v>
      </c>
      <c r="P84" s="223">
        <f>IF(Założenia_Predpoklady!$O$18=0,0,P75+P60+P45)</f>
        <v>0</v>
      </c>
      <c r="Q84" s="223">
        <f>IF(Założenia_Predpoklady!$O$18=0,0,Q75+Q60+Q45)</f>
        <v>0</v>
      </c>
      <c r="R84" s="223">
        <f>IF(Założenia_Predpoklady!$O$18=0,0,R75+R60+R45)</f>
        <v>0</v>
      </c>
      <c r="S84" s="223">
        <f>IF(Założenia_Predpoklady!$O$18=0,0,S75+S60+S45)</f>
        <v>0</v>
      </c>
      <c r="T84" s="223">
        <f>IF(Założenia_Predpoklady!$O$18=0,0,T75+T60+T45)</f>
        <v>0</v>
      </c>
      <c r="U84" s="223">
        <f>IF(Założenia_Predpoklady!$O$18=0,0,U75+U60+U45)</f>
        <v>0</v>
      </c>
      <c r="V84" s="223">
        <f>IF(Założenia_Predpoklady!$O$18=0,0,V75+V60+V45)</f>
        <v>0</v>
      </c>
      <c r="W84" s="223">
        <f>IF(Założenia_Predpoklady!$O$18=0,0,W75+W60+W45)</f>
        <v>0</v>
      </c>
      <c r="X84" s="223">
        <f>IF(Założenia_Predpoklady!$O$18=0,0,X75+X60+X45)</f>
        <v>0</v>
      </c>
      <c r="Y84" s="223">
        <f>IF(Założenia_Predpoklady!$O$18=0,0,Y75+Y60+Y45)</f>
        <v>0</v>
      </c>
      <c r="Z84" s="223">
        <f>IF(Założenia_Predpoklady!$O$18=0,0,Z75+Z60+Z45)</f>
        <v>0</v>
      </c>
      <c r="AA84" s="223">
        <f>IF(Założenia_Predpoklady!$O$18=0,0,AA75+AA60+AA45)</f>
        <v>0</v>
      </c>
    </row>
    <row r="85" spans="2:27" x14ac:dyDescent="0.25">
      <c r="B85" s="345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</row>
    <row r="86" spans="2:27" ht="30" x14ac:dyDescent="0.25">
      <c r="B86" s="261" t="s">
        <v>49</v>
      </c>
      <c r="C86" s="53">
        <f>Założenia_Predpoklady!C9</f>
        <v>2016</v>
      </c>
      <c r="D86" s="53">
        <f>Założenia_Predpoklady!D9</f>
        <v>2017</v>
      </c>
      <c r="E86" s="53">
        <f>Założenia_Predpoklady!E9</f>
        <v>2018</v>
      </c>
      <c r="F86" s="53">
        <f>Założenia_Predpoklady!F9</f>
        <v>2019</v>
      </c>
      <c r="G86" s="53">
        <f>Założenia_Predpoklady!G9</f>
        <v>2020</v>
      </c>
      <c r="H86" s="53">
        <f>Założenia_Predpoklady!H9</f>
        <v>2021</v>
      </c>
      <c r="I86" s="53">
        <f>Założenia_Predpoklady!I9</f>
        <v>2022</v>
      </c>
      <c r="J86" s="53">
        <f>Założenia_Predpoklady!J9</f>
        <v>2023</v>
      </c>
      <c r="K86" s="53">
        <f>Założenia_Predpoklady!K9</f>
        <v>2024</v>
      </c>
      <c r="L86" s="53">
        <f>Założenia_Predpoklady!L9</f>
        <v>2025</v>
      </c>
      <c r="M86" s="53">
        <f>Założenia_Predpoklady!M9</f>
        <v>2026</v>
      </c>
      <c r="N86" s="53">
        <f>Założenia_Predpoklady!N9</f>
        <v>2027</v>
      </c>
      <c r="O86" s="53">
        <f>Założenia_Predpoklady!O9</f>
        <v>2028</v>
      </c>
      <c r="P86" s="53">
        <f>Założenia_Predpoklady!P9</f>
        <v>2029</v>
      </c>
      <c r="Q86" s="53">
        <f>Założenia_Predpoklady!Q9</f>
        <v>2030</v>
      </c>
      <c r="R86" s="53">
        <f>Założenia_Predpoklady!R9</f>
        <v>2031</v>
      </c>
      <c r="S86" s="53">
        <f>Założenia_Predpoklady!S9</f>
        <v>2032</v>
      </c>
      <c r="T86" s="53">
        <f>Założenia_Predpoklady!T9</f>
        <v>2033</v>
      </c>
      <c r="U86" s="53">
        <f>Założenia_Predpoklady!U9</f>
        <v>2034</v>
      </c>
      <c r="V86" s="53">
        <f>Założenia_Predpoklady!V9</f>
        <v>2035</v>
      </c>
      <c r="W86" s="53">
        <f>Założenia_Predpoklady!W9</f>
        <v>2036</v>
      </c>
      <c r="X86" s="53">
        <f>Założenia_Predpoklady!X9</f>
        <v>2037</v>
      </c>
      <c r="Y86" s="53">
        <f>Założenia_Predpoklady!Y9</f>
        <v>2038</v>
      </c>
      <c r="Z86" s="53">
        <f>Założenia_Predpoklady!Z9</f>
        <v>2039</v>
      </c>
      <c r="AA86" s="53">
        <f>Założenia_Predpoklady!AA9</f>
        <v>2040</v>
      </c>
    </row>
    <row r="87" spans="2:27" ht="60" x14ac:dyDescent="0.25">
      <c r="B87" s="272" t="s">
        <v>237</v>
      </c>
      <c r="C87" s="348">
        <f>IFERROR(ROUND((C36*E37)+(C51*E52)+(C66*E67),0),0)</f>
        <v>0</v>
      </c>
      <c r="D87" s="47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</row>
    <row r="88" spans="2:27" ht="30" x14ac:dyDescent="0.25">
      <c r="B88" s="272" t="s">
        <v>349</v>
      </c>
      <c r="C88" s="349">
        <f>$C$87*C92</f>
        <v>0</v>
      </c>
      <c r="D88" s="349">
        <f t="shared" ref="D88:AA88" si="48">$C$87*D92</f>
        <v>0</v>
      </c>
      <c r="E88" s="349">
        <f t="shared" si="48"/>
        <v>0</v>
      </c>
      <c r="F88" s="349">
        <f t="shared" si="48"/>
        <v>0</v>
      </c>
      <c r="G88" s="349">
        <f t="shared" si="48"/>
        <v>0</v>
      </c>
      <c r="H88" s="349">
        <f t="shared" si="48"/>
        <v>0</v>
      </c>
      <c r="I88" s="349">
        <f t="shared" si="48"/>
        <v>0</v>
      </c>
      <c r="J88" s="349">
        <f t="shared" si="48"/>
        <v>0</v>
      </c>
      <c r="K88" s="349">
        <f t="shared" si="48"/>
        <v>0</v>
      </c>
      <c r="L88" s="349">
        <f t="shared" si="48"/>
        <v>0</v>
      </c>
      <c r="M88" s="349">
        <f t="shared" si="48"/>
        <v>0</v>
      </c>
      <c r="N88" s="349">
        <f t="shared" si="48"/>
        <v>0</v>
      </c>
      <c r="O88" s="349">
        <f t="shared" si="48"/>
        <v>0</v>
      </c>
      <c r="P88" s="349">
        <f t="shared" si="48"/>
        <v>0</v>
      </c>
      <c r="Q88" s="349">
        <f t="shared" si="48"/>
        <v>0</v>
      </c>
      <c r="R88" s="349">
        <f t="shared" si="48"/>
        <v>0</v>
      </c>
      <c r="S88" s="349">
        <f t="shared" si="48"/>
        <v>0</v>
      </c>
      <c r="T88" s="349">
        <f t="shared" si="48"/>
        <v>0</v>
      </c>
      <c r="U88" s="349">
        <f t="shared" si="48"/>
        <v>0</v>
      </c>
      <c r="V88" s="349">
        <f t="shared" si="48"/>
        <v>0</v>
      </c>
      <c r="W88" s="349">
        <f t="shared" si="48"/>
        <v>0</v>
      </c>
      <c r="X88" s="349">
        <f t="shared" si="48"/>
        <v>0</v>
      </c>
      <c r="Y88" s="349">
        <f t="shared" si="48"/>
        <v>0</v>
      </c>
      <c r="Z88" s="349">
        <f t="shared" si="48"/>
        <v>0</v>
      </c>
      <c r="AA88" s="349">
        <f t="shared" si="48"/>
        <v>0</v>
      </c>
    </row>
    <row r="89" spans="2:27" ht="30" x14ac:dyDescent="0.25">
      <c r="B89" s="346" t="s">
        <v>64</v>
      </c>
      <c r="C89" s="347">
        <f>SUM(C88:AA88)</f>
        <v>0</v>
      </c>
      <c r="D89" s="47"/>
      <c r="E89" s="10"/>
      <c r="F89" s="10"/>
      <c r="G89" s="10"/>
      <c r="H89" s="10"/>
      <c r="I89" s="10"/>
      <c r="J89" s="10"/>
      <c r="K89" s="10"/>
      <c r="L89" s="9"/>
    </row>
    <row r="90" spans="2:27" ht="3" customHeight="1" x14ac:dyDescent="0.25">
      <c r="B90" s="395" t="s">
        <v>391</v>
      </c>
      <c r="C90" s="396">
        <f>IF(Założenia_Predpoklady!D8=0,'Wyniki_Výsledky '!C37,0)</f>
        <v>0</v>
      </c>
      <c r="D90" s="396">
        <f>IF(Założenia_Predpoklady!E8=0,'Wyniki_Výsledky '!D37,0)</f>
        <v>0</v>
      </c>
      <c r="E90" s="396">
        <f>IF(Założenia_Predpoklady!F8=0,'Wyniki_Výsledky '!E37,0)</f>
        <v>0</v>
      </c>
      <c r="F90" s="396">
        <f>IF(Założenia_Predpoklady!G8=0,'Wyniki_Výsledky '!F37,0)</f>
        <v>0</v>
      </c>
      <c r="G90" s="396">
        <f>IF(Założenia_Predpoklady!H8=0,'Wyniki_Výsledky '!G37,0)</f>
        <v>0</v>
      </c>
      <c r="H90" s="396">
        <f>IF(Założenia_Predpoklady!I8=0,'Wyniki_Výsledky '!H37,0)</f>
        <v>0</v>
      </c>
      <c r="I90" s="396">
        <f>IF(Założenia_Predpoklady!J8=0,'Wyniki_Výsledky '!I37,0)</f>
        <v>0</v>
      </c>
      <c r="J90" s="396">
        <f>IF(Założenia_Predpoklady!K8=0,'Wyniki_Výsledky '!J37,0)</f>
        <v>0</v>
      </c>
      <c r="K90" s="396">
        <f>IF(Założenia_Predpoklady!L8=0,'Wyniki_Výsledky '!K37,0)</f>
        <v>0</v>
      </c>
      <c r="L90" s="396">
        <f>IF(Założenia_Predpoklady!M8=0,'Wyniki_Výsledky '!L37,0)</f>
        <v>0</v>
      </c>
      <c r="M90" s="396">
        <f>IF(Założenia_Predpoklady!N8=0,'Wyniki_Výsledky '!M37,0)</f>
        <v>0</v>
      </c>
      <c r="N90" s="396">
        <f>IF(Założenia_Predpoklady!O8=0,'Wyniki_Výsledky '!N37,0)</f>
        <v>0</v>
      </c>
      <c r="O90" s="396">
        <f>IF(Założenia_Predpoklady!P8=0,'Wyniki_Výsledky '!O37,0)</f>
        <v>0</v>
      </c>
      <c r="P90" s="396">
        <f>IF(Założenia_Predpoklady!Q8=0,'Wyniki_Výsledky '!P37,0)</f>
        <v>0</v>
      </c>
      <c r="Q90" s="396">
        <f>IF(Założenia_Predpoklady!R8=0,'Wyniki_Výsledky '!Q37,0)</f>
        <v>0</v>
      </c>
      <c r="R90" s="396">
        <f>IF(Założenia_Predpoklady!S8=0,'Wyniki_Výsledky '!R37,0)</f>
        <v>0</v>
      </c>
      <c r="S90" s="396">
        <f>IF(Założenia_Predpoklady!T8=0,'Wyniki_Výsledky '!S37,0)</f>
        <v>0</v>
      </c>
      <c r="T90" s="396">
        <f>IF(Założenia_Predpoklady!U8=0,'Wyniki_Výsledky '!T37,0)</f>
        <v>0</v>
      </c>
      <c r="U90" s="396">
        <f>IF(Założenia_Predpoklady!V8=0,'Wyniki_Výsledky '!U37,0)</f>
        <v>0</v>
      </c>
      <c r="V90" s="396">
        <f>IF(Założenia_Predpoklady!W8=0,'Wyniki_Výsledky '!V37,0)</f>
        <v>0</v>
      </c>
      <c r="W90" s="396">
        <f>IF(Założenia_Predpoklady!X8=0,'Wyniki_Výsledky '!W37,0)</f>
        <v>0</v>
      </c>
      <c r="X90" s="396">
        <f>IF(Założenia_Predpoklady!Y8=0,'Wyniki_Výsledky '!X37,0)</f>
        <v>0</v>
      </c>
      <c r="Y90" s="396">
        <f>IF(Założenia_Predpoklady!Z8=0,'Wyniki_Výsledky '!Y37,0)</f>
        <v>0</v>
      </c>
      <c r="Z90" s="396">
        <f>IF(Założenia_Predpoklady!AA8=0,'Wyniki_Výsledky '!Z37,0)</f>
        <v>0</v>
      </c>
      <c r="AA90" s="396">
        <f>IF(Założenia_Predpoklady!AB8=0,'Wyniki_Výsledky '!AA37,0)</f>
        <v>0</v>
      </c>
    </row>
    <row r="91" spans="2:27" ht="3" customHeight="1" x14ac:dyDescent="0.25">
      <c r="B91" s="397"/>
      <c r="C91" s="396">
        <f>IF(Założenia_Predpoklady!D8=0,'Wyniki_Výsledky '!C39,0)</f>
        <v>0</v>
      </c>
      <c r="D91" s="396">
        <f>IF(Założenia_Predpoklady!E8=0,'Wyniki_Výsledky '!D39,0)</f>
        <v>0</v>
      </c>
      <c r="E91" s="396">
        <f>IF(Założenia_Predpoklady!F8=0,'Wyniki_Výsledky '!E39,0)</f>
        <v>0</v>
      </c>
      <c r="F91" s="396">
        <f>IF(Założenia_Predpoklady!G8=0,'Wyniki_Výsledky '!F39,0)</f>
        <v>0</v>
      </c>
      <c r="G91" s="396">
        <f>IF(Założenia_Predpoklady!H8=0,'Wyniki_Výsledky '!G39,0)</f>
        <v>0</v>
      </c>
      <c r="H91" s="396">
        <f>IF(Założenia_Predpoklady!I8=0,'Wyniki_Výsledky '!H39,0)</f>
        <v>0</v>
      </c>
      <c r="I91" s="396">
        <f>IF(Założenia_Predpoklady!J8=0,'Wyniki_Výsledky '!I39,0)</f>
        <v>0</v>
      </c>
      <c r="J91" s="396">
        <f>IF(Założenia_Predpoklady!K8=0,'Wyniki_Výsledky '!J39,0)</f>
        <v>0</v>
      </c>
      <c r="K91" s="396">
        <f>IF(Założenia_Predpoklady!L8=0,'Wyniki_Výsledky '!K39,0)</f>
        <v>0</v>
      </c>
      <c r="L91" s="396">
        <f>IF(Założenia_Predpoklady!M8=0,'Wyniki_Výsledky '!L39,0)</f>
        <v>0</v>
      </c>
      <c r="M91" s="396">
        <f>IF(Założenia_Predpoklady!N8=0,'Wyniki_Výsledky '!M39,0)</f>
        <v>0</v>
      </c>
      <c r="N91" s="396">
        <f>IF(Założenia_Predpoklady!O8=0,'Wyniki_Výsledky '!N39,0)</f>
        <v>0</v>
      </c>
      <c r="O91" s="396">
        <f>IF(Założenia_Predpoklady!P8=0,'Wyniki_Výsledky '!O39,0)</f>
        <v>0</v>
      </c>
      <c r="P91" s="396">
        <f>IF(Założenia_Predpoklady!Q8=0,'Wyniki_Výsledky '!P39,0)</f>
        <v>0</v>
      </c>
      <c r="Q91" s="396">
        <f>IF(Założenia_Predpoklady!R8=0,'Wyniki_Výsledky '!Q39,0)</f>
        <v>0</v>
      </c>
      <c r="R91" s="396">
        <f>IF(Założenia_Predpoklady!S8=0,'Wyniki_Výsledky '!R39,0)</f>
        <v>0</v>
      </c>
      <c r="S91" s="396">
        <f>IF(Założenia_Predpoklady!T8=0,'Wyniki_Výsledky '!S39,0)</f>
        <v>0</v>
      </c>
      <c r="T91" s="396">
        <f>IF(Założenia_Predpoklady!U8=0,'Wyniki_Výsledky '!T39,0)</f>
        <v>0</v>
      </c>
      <c r="U91" s="396">
        <f>IF(Założenia_Predpoklady!V8=0,'Wyniki_Výsledky '!U39,0)</f>
        <v>0</v>
      </c>
      <c r="V91" s="396">
        <f>IF(Założenia_Predpoklady!W8=0,'Wyniki_Výsledky '!V39,0)</f>
        <v>0</v>
      </c>
      <c r="W91" s="396">
        <f>IF(Założenia_Predpoklady!X8=0,'Wyniki_Výsledky '!W39,0)</f>
        <v>0</v>
      </c>
      <c r="X91" s="396">
        <f>IF(Założenia_Predpoklady!Y8=0,'Wyniki_Výsledky '!X39,0)</f>
        <v>0</v>
      </c>
      <c r="Y91" s="396">
        <f>IF(Założenia_Predpoklady!Z8=0,'Wyniki_Výsledky '!Y39,0)</f>
        <v>0</v>
      </c>
      <c r="Z91" s="396">
        <f>IF(Założenia_Predpoklady!AA8=0,'Wyniki_Výsledky '!Z39,0)</f>
        <v>0</v>
      </c>
      <c r="AA91" s="396">
        <f>IF(Założenia_Predpoklady!AB8=0,'Wyniki_Výsledky '!AA39,0)</f>
        <v>0</v>
      </c>
    </row>
    <row r="92" spans="2:27" ht="3" customHeight="1" x14ac:dyDescent="0.25">
      <c r="B92" s="398"/>
      <c r="C92" s="396">
        <f>IF(C90-C91&gt;0,C90-C91,0)</f>
        <v>0</v>
      </c>
      <c r="D92" s="396">
        <f t="shared" ref="D92:AA92" si="49">IF(D90-D91&gt;0,D90-D91,0)</f>
        <v>0</v>
      </c>
      <c r="E92" s="396">
        <f t="shared" si="49"/>
        <v>0</v>
      </c>
      <c r="F92" s="396">
        <f t="shared" si="49"/>
        <v>0</v>
      </c>
      <c r="G92" s="396">
        <f t="shared" si="49"/>
        <v>0</v>
      </c>
      <c r="H92" s="396">
        <f t="shared" si="49"/>
        <v>0</v>
      </c>
      <c r="I92" s="396">
        <f t="shared" si="49"/>
        <v>0</v>
      </c>
      <c r="J92" s="396">
        <f t="shared" si="49"/>
        <v>0</v>
      </c>
      <c r="K92" s="396">
        <f t="shared" si="49"/>
        <v>0</v>
      </c>
      <c r="L92" s="396">
        <f t="shared" si="49"/>
        <v>0</v>
      </c>
      <c r="M92" s="396">
        <f t="shared" si="49"/>
        <v>0</v>
      </c>
      <c r="N92" s="396">
        <f t="shared" si="49"/>
        <v>0</v>
      </c>
      <c r="O92" s="396">
        <f t="shared" si="49"/>
        <v>0</v>
      </c>
      <c r="P92" s="396">
        <f t="shared" si="49"/>
        <v>0</v>
      </c>
      <c r="Q92" s="396">
        <f t="shared" si="49"/>
        <v>0</v>
      </c>
      <c r="R92" s="396">
        <f t="shared" si="49"/>
        <v>0</v>
      </c>
      <c r="S92" s="396">
        <f t="shared" si="49"/>
        <v>0</v>
      </c>
      <c r="T92" s="396">
        <f t="shared" si="49"/>
        <v>0</v>
      </c>
      <c r="U92" s="396">
        <f t="shared" si="49"/>
        <v>0</v>
      </c>
      <c r="V92" s="396">
        <f t="shared" si="49"/>
        <v>0</v>
      </c>
      <c r="W92" s="396">
        <f t="shared" si="49"/>
        <v>0</v>
      </c>
      <c r="X92" s="396">
        <f t="shared" si="49"/>
        <v>0</v>
      </c>
      <c r="Y92" s="396">
        <f t="shared" si="49"/>
        <v>0</v>
      </c>
      <c r="Z92" s="396">
        <f t="shared" si="49"/>
        <v>0</v>
      </c>
      <c r="AA92" s="396">
        <f t="shared" si="49"/>
        <v>0</v>
      </c>
    </row>
    <row r="93" spans="2:27" ht="3" customHeight="1" x14ac:dyDescent="0.2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2:27" ht="30" customHeight="1" x14ac:dyDescent="0.25">
      <c r="B94" s="260" t="s">
        <v>65</v>
      </c>
      <c r="C94" s="490" t="str">
        <f>IF(Założenia_Predpoklady!$O$18=0,"Inwestycja nie generuje przychodów - nie wypełniaj punktu dot. przychodów.
Investícia negeneruje príjmy - opustiť bod o stanovenie príjmov.","")</f>
        <v/>
      </c>
      <c r="D94" s="490"/>
      <c r="E94" s="490"/>
      <c r="F94" s="490"/>
      <c r="G94" s="490"/>
      <c r="H94" s="458"/>
      <c r="I94" s="458"/>
      <c r="J94" s="458"/>
      <c r="K94" s="458"/>
    </row>
    <row r="95" spans="2:27" x14ac:dyDescent="0.25">
      <c r="B95" s="5"/>
      <c r="C95" s="1"/>
    </row>
    <row r="96" spans="2:27" ht="30" x14ac:dyDescent="0.25">
      <c r="B96" s="261" t="s">
        <v>49</v>
      </c>
      <c r="C96" s="53">
        <f>Założenia_Predpoklady!C9</f>
        <v>2016</v>
      </c>
      <c r="D96" s="53">
        <f>Założenia_Predpoklady!D9</f>
        <v>2017</v>
      </c>
      <c r="E96" s="53">
        <f>Założenia_Predpoklady!E9</f>
        <v>2018</v>
      </c>
      <c r="F96" s="53">
        <f>Założenia_Predpoklady!F9</f>
        <v>2019</v>
      </c>
      <c r="G96" s="53">
        <f>Założenia_Predpoklady!G9</f>
        <v>2020</v>
      </c>
      <c r="H96" s="53">
        <f>Założenia_Predpoklady!H9</f>
        <v>2021</v>
      </c>
      <c r="I96" s="53">
        <f>Założenia_Predpoklady!I9</f>
        <v>2022</v>
      </c>
      <c r="J96" s="53">
        <f>Założenia_Predpoklady!J9</f>
        <v>2023</v>
      </c>
      <c r="K96" s="53">
        <f>Założenia_Predpoklady!K9</f>
        <v>2024</v>
      </c>
      <c r="L96" s="53">
        <f>Założenia_Predpoklady!L9</f>
        <v>2025</v>
      </c>
      <c r="M96" s="53">
        <f>Założenia_Predpoklady!M9</f>
        <v>2026</v>
      </c>
      <c r="N96" s="53">
        <f>Założenia_Predpoklady!N9</f>
        <v>2027</v>
      </c>
      <c r="O96" s="53">
        <f>Założenia_Predpoklady!O9</f>
        <v>2028</v>
      </c>
      <c r="P96" s="53">
        <f>Założenia_Predpoklady!P9</f>
        <v>2029</v>
      </c>
      <c r="Q96" s="53">
        <f>Założenia_Predpoklady!Q9</f>
        <v>2030</v>
      </c>
      <c r="R96" s="53">
        <f>Założenia_Predpoklady!R9</f>
        <v>2031</v>
      </c>
      <c r="S96" s="53">
        <f>Założenia_Predpoklady!S9</f>
        <v>2032</v>
      </c>
      <c r="T96" s="53">
        <f>Założenia_Predpoklady!T9</f>
        <v>2033</v>
      </c>
      <c r="U96" s="53">
        <f>Założenia_Predpoklady!U9</f>
        <v>2034</v>
      </c>
      <c r="V96" s="53">
        <f>Założenia_Predpoklady!V9</f>
        <v>2035</v>
      </c>
      <c r="W96" s="53">
        <f>Założenia_Predpoklady!W9</f>
        <v>2036</v>
      </c>
      <c r="X96" s="53">
        <f>Założenia_Predpoklady!X9</f>
        <v>2037</v>
      </c>
      <c r="Y96" s="53">
        <f>Założenia_Predpoklady!Y9</f>
        <v>2038</v>
      </c>
      <c r="Z96" s="53">
        <f>Założenia_Predpoklady!Z9</f>
        <v>2039</v>
      </c>
      <c r="AA96" s="53">
        <f>Założenia_Predpoklady!AA9</f>
        <v>2040</v>
      </c>
    </row>
    <row r="97" spans="1:27" ht="30" x14ac:dyDescent="0.25">
      <c r="A97" s="532" t="s">
        <v>14</v>
      </c>
      <c r="B97" s="399" t="s">
        <v>73</v>
      </c>
      <c r="C97" s="275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5.5" x14ac:dyDescent="0.25">
      <c r="A98" s="532"/>
      <c r="B98" s="400" t="s">
        <v>66</v>
      </c>
      <c r="C98" s="401"/>
      <c r="D98" s="401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1"/>
      <c r="X98" s="401"/>
      <c r="Y98" s="401"/>
      <c r="Z98" s="401"/>
      <c r="AA98" s="401"/>
    </row>
    <row r="99" spans="1:27" ht="25.5" x14ac:dyDescent="0.25">
      <c r="A99" s="532"/>
      <c r="B99" s="400" t="s">
        <v>67</v>
      </c>
      <c r="C99" s="401"/>
      <c r="D99" s="401"/>
      <c r="E99" s="401"/>
      <c r="F99" s="401"/>
      <c r="G99" s="401"/>
      <c r="H99" s="401"/>
      <c r="I99" s="401"/>
      <c r="J99" s="401"/>
      <c r="K99" s="401"/>
      <c r="L99" s="401"/>
      <c r="M99" s="401"/>
      <c r="N99" s="401"/>
      <c r="O99" s="401"/>
      <c r="P99" s="401"/>
      <c r="Q99" s="401"/>
      <c r="R99" s="401"/>
      <c r="S99" s="401"/>
      <c r="T99" s="401"/>
      <c r="U99" s="401"/>
      <c r="V99" s="401"/>
      <c r="W99" s="401"/>
      <c r="X99" s="401"/>
      <c r="Y99" s="401"/>
      <c r="Z99" s="401"/>
      <c r="AA99" s="401"/>
    </row>
    <row r="100" spans="1:27" ht="30" x14ac:dyDescent="0.25">
      <c r="A100" s="532"/>
      <c r="B100" s="143" t="s">
        <v>248</v>
      </c>
      <c r="C100" s="403">
        <f>C98*C99</f>
        <v>0</v>
      </c>
      <c r="D100" s="403">
        <f t="shared" ref="D100:Z100" si="50">D98*D99</f>
        <v>0</v>
      </c>
      <c r="E100" s="403">
        <f t="shared" si="50"/>
        <v>0</v>
      </c>
      <c r="F100" s="403">
        <f t="shared" si="50"/>
        <v>0</v>
      </c>
      <c r="G100" s="403">
        <f t="shared" si="50"/>
        <v>0</v>
      </c>
      <c r="H100" s="403">
        <f t="shared" si="50"/>
        <v>0</v>
      </c>
      <c r="I100" s="403">
        <f t="shared" si="50"/>
        <v>0</v>
      </c>
      <c r="J100" s="403">
        <f t="shared" si="50"/>
        <v>0</v>
      </c>
      <c r="K100" s="403">
        <f t="shared" si="50"/>
        <v>0</v>
      </c>
      <c r="L100" s="403">
        <f t="shared" si="50"/>
        <v>0</v>
      </c>
      <c r="M100" s="403">
        <f t="shared" si="50"/>
        <v>0</v>
      </c>
      <c r="N100" s="403">
        <f t="shared" si="50"/>
        <v>0</v>
      </c>
      <c r="O100" s="403">
        <f t="shared" si="50"/>
        <v>0</v>
      </c>
      <c r="P100" s="403">
        <f t="shared" si="50"/>
        <v>0</v>
      </c>
      <c r="Q100" s="403">
        <f t="shared" si="50"/>
        <v>0</v>
      </c>
      <c r="R100" s="403">
        <f t="shared" si="50"/>
        <v>0</v>
      </c>
      <c r="S100" s="403">
        <f t="shared" si="50"/>
        <v>0</v>
      </c>
      <c r="T100" s="403">
        <f t="shared" si="50"/>
        <v>0</v>
      </c>
      <c r="U100" s="403">
        <f t="shared" si="50"/>
        <v>0</v>
      </c>
      <c r="V100" s="403">
        <f t="shared" si="50"/>
        <v>0</v>
      </c>
      <c r="W100" s="403">
        <f t="shared" si="50"/>
        <v>0</v>
      </c>
      <c r="X100" s="403">
        <f t="shared" si="50"/>
        <v>0</v>
      </c>
      <c r="Y100" s="403">
        <f t="shared" si="50"/>
        <v>0</v>
      </c>
      <c r="Z100" s="403">
        <f t="shared" si="50"/>
        <v>0</v>
      </c>
      <c r="AA100" s="403">
        <f t="shared" ref="AA100" si="51">AA98*AA99</f>
        <v>0</v>
      </c>
    </row>
    <row r="101" spans="1:27" ht="30" x14ac:dyDescent="0.25">
      <c r="A101" s="532" t="s">
        <v>15</v>
      </c>
      <c r="B101" s="399" t="s">
        <v>74</v>
      </c>
      <c r="C101" s="275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ht="25.5" x14ac:dyDescent="0.25">
      <c r="A102" s="532"/>
      <c r="B102" s="400" t="s">
        <v>66</v>
      </c>
      <c r="C102" s="401"/>
      <c r="D102" s="401"/>
      <c r="E102" s="401"/>
      <c r="F102" s="401"/>
      <c r="G102" s="401"/>
      <c r="H102" s="401"/>
      <c r="I102" s="401"/>
      <c r="J102" s="401"/>
      <c r="K102" s="401"/>
      <c r="L102" s="401"/>
      <c r="M102" s="401"/>
      <c r="N102" s="401"/>
      <c r="O102" s="401"/>
      <c r="P102" s="401"/>
      <c r="Q102" s="401"/>
      <c r="R102" s="401"/>
      <c r="S102" s="401"/>
      <c r="T102" s="401"/>
      <c r="U102" s="401"/>
      <c r="V102" s="401"/>
      <c r="W102" s="401"/>
      <c r="X102" s="401"/>
      <c r="Y102" s="401"/>
      <c r="Z102" s="401"/>
      <c r="AA102" s="401"/>
    </row>
    <row r="103" spans="1:27" ht="25.5" x14ac:dyDescent="0.25">
      <c r="A103" s="532"/>
      <c r="B103" s="400" t="s">
        <v>67</v>
      </c>
      <c r="C103" s="401"/>
      <c r="D103" s="401"/>
      <c r="E103" s="401"/>
      <c r="F103" s="401"/>
      <c r="G103" s="401"/>
      <c r="H103" s="401"/>
      <c r="I103" s="401"/>
      <c r="J103" s="401"/>
      <c r="K103" s="401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401"/>
      <c r="Z103" s="401"/>
      <c r="AA103" s="401"/>
    </row>
    <row r="104" spans="1:27" ht="30" x14ac:dyDescent="0.25">
      <c r="A104" s="532"/>
      <c r="B104" s="143" t="s">
        <v>249</v>
      </c>
      <c r="C104" s="403">
        <f>C102*C103</f>
        <v>0</v>
      </c>
      <c r="D104" s="403">
        <f t="shared" ref="D104" si="52">D102*D103</f>
        <v>0</v>
      </c>
      <c r="E104" s="403">
        <f t="shared" ref="E104" si="53">E102*E103</f>
        <v>0</v>
      </c>
      <c r="F104" s="403">
        <f t="shared" ref="F104" si="54">F102*F103</f>
        <v>0</v>
      </c>
      <c r="G104" s="403">
        <f t="shared" ref="G104" si="55">G102*G103</f>
        <v>0</v>
      </c>
      <c r="H104" s="403">
        <f t="shared" ref="H104" si="56">H102*H103</f>
        <v>0</v>
      </c>
      <c r="I104" s="403">
        <f t="shared" ref="I104" si="57">I102*I103</f>
        <v>0</v>
      </c>
      <c r="J104" s="403">
        <f t="shared" ref="J104" si="58">J102*J103</f>
        <v>0</v>
      </c>
      <c r="K104" s="403">
        <f t="shared" ref="K104" si="59">K102*K103</f>
        <v>0</v>
      </c>
      <c r="L104" s="403">
        <f t="shared" ref="L104" si="60">L102*L103</f>
        <v>0</v>
      </c>
      <c r="M104" s="403">
        <f t="shared" ref="M104" si="61">M102*M103</f>
        <v>0</v>
      </c>
      <c r="N104" s="403">
        <f t="shared" ref="N104" si="62">N102*N103</f>
        <v>0</v>
      </c>
      <c r="O104" s="403">
        <f t="shared" ref="O104" si="63">O102*O103</f>
        <v>0</v>
      </c>
      <c r="P104" s="403">
        <f t="shared" ref="P104" si="64">P102*P103</f>
        <v>0</v>
      </c>
      <c r="Q104" s="403">
        <f t="shared" ref="Q104" si="65">Q102*Q103</f>
        <v>0</v>
      </c>
      <c r="R104" s="403">
        <f t="shared" ref="R104" si="66">R102*R103</f>
        <v>0</v>
      </c>
      <c r="S104" s="403">
        <f t="shared" ref="S104" si="67">S102*S103</f>
        <v>0</v>
      </c>
      <c r="T104" s="403">
        <f t="shared" ref="T104" si="68">T102*T103</f>
        <v>0</v>
      </c>
      <c r="U104" s="403">
        <f t="shared" ref="U104" si="69">U102*U103</f>
        <v>0</v>
      </c>
      <c r="V104" s="403">
        <f t="shared" ref="V104" si="70">V102*V103</f>
        <v>0</v>
      </c>
      <c r="W104" s="403">
        <f t="shared" ref="W104" si="71">W102*W103</f>
        <v>0</v>
      </c>
      <c r="X104" s="403">
        <f t="shared" ref="X104" si="72">X102*X103</f>
        <v>0</v>
      </c>
      <c r="Y104" s="403">
        <f t="shared" ref="Y104" si="73">Y102*Y103</f>
        <v>0</v>
      </c>
      <c r="Z104" s="403">
        <f t="shared" ref="Z104:AA104" si="74">Z102*Z103</f>
        <v>0</v>
      </c>
      <c r="AA104" s="403">
        <f t="shared" si="74"/>
        <v>0</v>
      </c>
    </row>
    <row r="105" spans="1:27" ht="30" x14ac:dyDescent="0.25">
      <c r="A105" s="532" t="s">
        <v>16</v>
      </c>
      <c r="B105" s="399" t="s">
        <v>75</v>
      </c>
      <c r="C105" s="275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ht="25.5" x14ac:dyDescent="0.25">
      <c r="A106" s="532"/>
      <c r="B106" s="400" t="s">
        <v>66</v>
      </c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</row>
    <row r="107" spans="1:27" ht="25.5" x14ac:dyDescent="0.25">
      <c r="A107" s="532"/>
      <c r="B107" s="400" t="s">
        <v>67</v>
      </c>
      <c r="C107" s="401"/>
      <c r="D107" s="401"/>
      <c r="E107" s="401"/>
      <c r="F107" s="401"/>
      <c r="G107" s="401"/>
      <c r="H107" s="401"/>
      <c r="I107" s="401"/>
      <c r="J107" s="401"/>
      <c r="K107" s="401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401"/>
      <c r="Z107" s="401"/>
      <c r="AA107" s="401"/>
    </row>
    <row r="108" spans="1:27" ht="30" x14ac:dyDescent="0.25">
      <c r="A108" s="532"/>
      <c r="B108" s="143" t="s">
        <v>250</v>
      </c>
      <c r="C108" s="403">
        <f>C106*C107</f>
        <v>0</v>
      </c>
      <c r="D108" s="403">
        <f t="shared" ref="D108" si="75">D106*D107</f>
        <v>0</v>
      </c>
      <c r="E108" s="403">
        <f t="shared" ref="E108" si="76">E106*E107</f>
        <v>0</v>
      </c>
      <c r="F108" s="403">
        <f t="shared" ref="F108" si="77">F106*F107</f>
        <v>0</v>
      </c>
      <c r="G108" s="403">
        <f t="shared" ref="G108" si="78">G106*G107</f>
        <v>0</v>
      </c>
      <c r="H108" s="403">
        <f t="shared" ref="H108" si="79">H106*H107</f>
        <v>0</v>
      </c>
      <c r="I108" s="403">
        <f t="shared" ref="I108" si="80">I106*I107</f>
        <v>0</v>
      </c>
      <c r="J108" s="403">
        <f t="shared" ref="J108" si="81">J106*J107</f>
        <v>0</v>
      </c>
      <c r="K108" s="403">
        <f t="shared" ref="K108" si="82">K106*K107</f>
        <v>0</v>
      </c>
      <c r="L108" s="403">
        <f t="shared" ref="L108" si="83">L106*L107</f>
        <v>0</v>
      </c>
      <c r="M108" s="403">
        <f t="shared" ref="M108" si="84">M106*M107</f>
        <v>0</v>
      </c>
      <c r="N108" s="403">
        <f t="shared" ref="N108" si="85">N106*N107</f>
        <v>0</v>
      </c>
      <c r="O108" s="403">
        <f t="shared" ref="O108" si="86">O106*O107</f>
        <v>0</v>
      </c>
      <c r="P108" s="403">
        <f t="shared" ref="P108" si="87">P106*P107</f>
        <v>0</v>
      </c>
      <c r="Q108" s="403">
        <f t="shared" ref="Q108" si="88">Q106*Q107</f>
        <v>0</v>
      </c>
      <c r="R108" s="403">
        <f t="shared" ref="R108" si="89">R106*R107</f>
        <v>0</v>
      </c>
      <c r="S108" s="403">
        <f t="shared" ref="S108" si="90">S106*S107</f>
        <v>0</v>
      </c>
      <c r="T108" s="403">
        <f t="shared" ref="T108" si="91">T106*T107</f>
        <v>0</v>
      </c>
      <c r="U108" s="403">
        <f t="shared" ref="U108" si="92">U106*U107</f>
        <v>0</v>
      </c>
      <c r="V108" s="403">
        <f t="shared" ref="V108" si="93">V106*V107</f>
        <v>0</v>
      </c>
      <c r="W108" s="403">
        <f t="shared" ref="W108" si="94">W106*W107</f>
        <v>0</v>
      </c>
      <c r="X108" s="403">
        <f t="shared" ref="X108" si="95">X106*X107</f>
        <v>0</v>
      </c>
      <c r="Y108" s="403">
        <f t="shared" ref="Y108" si="96">Y106*Y107</f>
        <v>0</v>
      </c>
      <c r="Z108" s="403">
        <f t="shared" ref="Z108:AA108" si="97">Z106*Z107</f>
        <v>0</v>
      </c>
      <c r="AA108" s="403">
        <f t="shared" si="97"/>
        <v>0</v>
      </c>
    </row>
    <row r="109" spans="1:27" ht="30" x14ac:dyDescent="0.25">
      <c r="A109" s="532" t="s">
        <v>17</v>
      </c>
      <c r="B109" s="404" t="s">
        <v>251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</row>
    <row r="110" spans="1:27" ht="25.5" x14ac:dyDescent="0.25">
      <c r="A110" s="532"/>
      <c r="B110" s="400" t="s">
        <v>252</v>
      </c>
      <c r="C110" s="401"/>
      <c r="D110" s="401"/>
      <c r="E110" s="401"/>
      <c r="F110" s="401"/>
      <c r="G110" s="401"/>
      <c r="H110" s="401"/>
      <c r="I110" s="401"/>
      <c r="J110" s="401"/>
      <c r="K110" s="401"/>
      <c r="L110" s="401"/>
      <c r="M110" s="401"/>
      <c r="N110" s="401"/>
      <c r="O110" s="401"/>
      <c r="P110" s="401"/>
      <c r="Q110" s="401"/>
      <c r="R110" s="401"/>
      <c r="S110" s="401"/>
      <c r="T110" s="401"/>
      <c r="U110" s="401"/>
      <c r="V110" s="401"/>
      <c r="W110" s="401"/>
      <c r="X110" s="401"/>
      <c r="Y110" s="401"/>
      <c r="Z110" s="401"/>
      <c r="AA110" s="401"/>
    </row>
    <row r="111" spans="1:27" ht="25.5" x14ac:dyDescent="0.25">
      <c r="A111" s="532"/>
      <c r="B111" s="400" t="s">
        <v>68</v>
      </c>
      <c r="C111" s="401"/>
      <c r="D111" s="401"/>
      <c r="E111" s="401"/>
      <c r="F111" s="401"/>
      <c r="G111" s="401"/>
      <c r="H111" s="401"/>
      <c r="I111" s="401"/>
      <c r="J111" s="401"/>
      <c r="K111" s="401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401"/>
      <c r="Z111" s="401"/>
      <c r="AA111" s="401"/>
    </row>
    <row r="112" spans="1:27" ht="30" x14ac:dyDescent="0.25">
      <c r="A112" s="532"/>
      <c r="B112" s="143" t="s">
        <v>69</v>
      </c>
      <c r="C112" s="403">
        <f>C110*C111</f>
        <v>0</v>
      </c>
      <c r="D112" s="403">
        <f t="shared" ref="D112" si="98">D110*D111</f>
        <v>0</v>
      </c>
      <c r="E112" s="403">
        <f t="shared" ref="E112" si="99">E110*E111</f>
        <v>0</v>
      </c>
      <c r="F112" s="403">
        <f t="shared" ref="F112" si="100">F110*F111</f>
        <v>0</v>
      </c>
      <c r="G112" s="403">
        <f t="shared" ref="G112" si="101">G110*G111</f>
        <v>0</v>
      </c>
      <c r="H112" s="403">
        <f t="shared" ref="H112" si="102">H110*H111</f>
        <v>0</v>
      </c>
      <c r="I112" s="403">
        <f t="shared" ref="I112" si="103">I110*I111</f>
        <v>0</v>
      </c>
      <c r="J112" s="403">
        <f t="shared" ref="J112" si="104">J110*J111</f>
        <v>0</v>
      </c>
      <c r="K112" s="403">
        <f t="shared" ref="K112" si="105">K110*K111</f>
        <v>0</v>
      </c>
      <c r="L112" s="403">
        <f t="shared" ref="L112" si="106">L110*L111</f>
        <v>0</v>
      </c>
      <c r="M112" s="403">
        <f t="shared" ref="M112" si="107">M110*M111</f>
        <v>0</v>
      </c>
      <c r="N112" s="403">
        <f t="shared" ref="N112" si="108">N110*N111</f>
        <v>0</v>
      </c>
      <c r="O112" s="403">
        <f t="shared" ref="O112" si="109">O110*O111</f>
        <v>0</v>
      </c>
      <c r="P112" s="403">
        <f t="shared" ref="P112" si="110">P110*P111</f>
        <v>0</v>
      </c>
      <c r="Q112" s="403">
        <f t="shared" ref="Q112" si="111">Q110*Q111</f>
        <v>0</v>
      </c>
      <c r="R112" s="403">
        <f t="shared" ref="R112" si="112">R110*R111</f>
        <v>0</v>
      </c>
      <c r="S112" s="403">
        <f t="shared" ref="S112" si="113">S110*S111</f>
        <v>0</v>
      </c>
      <c r="T112" s="403">
        <f t="shared" ref="T112" si="114">T110*T111</f>
        <v>0</v>
      </c>
      <c r="U112" s="403">
        <f t="shared" ref="U112" si="115">U110*U111</f>
        <v>0</v>
      </c>
      <c r="V112" s="403">
        <f t="shared" ref="V112" si="116">V110*V111</f>
        <v>0</v>
      </c>
      <c r="W112" s="403">
        <f t="shared" ref="W112" si="117">W110*W111</f>
        <v>0</v>
      </c>
      <c r="X112" s="403">
        <f t="shared" ref="X112" si="118">X110*X111</f>
        <v>0</v>
      </c>
      <c r="Y112" s="403">
        <f t="shared" ref="Y112" si="119">Y110*Y111</f>
        <v>0</v>
      </c>
      <c r="Z112" s="403">
        <f t="shared" ref="Z112:AA112" si="120">Z110*Z111</f>
        <v>0</v>
      </c>
      <c r="AA112" s="403">
        <f t="shared" si="120"/>
        <v>0</v>
      </c>
    </row>
    <row r="113" spans="1:27" ht="30" x14ac:dyDescent="0.25">
      <c r="A113" s="532" t="s">
        <v>18</v>
      </c>
      <c r="B113" s="399" t="s">
        <v>70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</row>
    <row r="114" spans="1:27" ht="15" customHeight="1" x14ac:dyDescent="0.25">
      <c r="A114" s="532"/>
      <c r="B114" s="400" t="s">
        <v>1</v>
      </c>
      <c r="C114" s="401"/>
      <c r="D114" s="401"/>
      <c r="E114" s="401"/>
      <c r="F114" s="401"/>
      <c r="G114" s="401"/>
      <c r="H114" s="401"/>
      <c r="I114" s="401"/>
      <c r="J114" s="401"/>
      <c r="K114" s="401"/>
      <c r="L114" s="401"/>
      <c r="M114" s="401"/>
      <c r="N114" s="401"/>
      <c r="O114" s="401"/>
      <c r="P114" s="401"/>
      <c r="Q114" s="401"/>
      <c r="R114" s="401"/>
      <c r="S114" s="401"/>
      <c r="T114" s="401"/>
      <c r="U114" s="401"/>
      <c r="V114" s="401"/>
      <c r="W114" s="401"/>
      <c r="X114" s="401"/>
      <c r="Y114" s="401"/>
      <c r="Z114" s="401"/>
      <c r="AA114" s="401"/>
    </row>
    <row r="115" spans="1:27" x14ac:dyDescent="0.25">
      <c r="A115" s="532"/>
      <c r="B115" s="400" t="s">
        <v>1</v>
      </c>
      <c r="C115" s="401"/>
      <c r="D115" s="401"/>
      <c r="E115" s="401"/>
      <c r="F115" s="401"/>
      <c r="G115" s="401"/>
      <c r="H115" s="401"/>
      <c r="I115" s="401"/>
      <c r="J115" s="401"/>
      <c r="K115" s="401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401"/>
      <c r="Z115" s="401"/>
      <c r="AA115" s="401"/>
    </row>
    <row r="116" spans="1:27" ht="30" x14ac:dyDescent="0.25">
      <c r="A116" s="532"/>
      <c r="B116" s="143" t="s">
        <v>71</v>
      </c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403"/>
      <c r="X116" s="403"/>
      <c r="Y116" s="403"/>
      <c r="Z116" s="403"/>
      <c r="AA116" s="403"/>
    </row>
    <row r="117" spans="1:27" ht="30" x14ac:dyDescent="0.25">
      <c r="A117" s="533" t="s">
        <v>12</v>
      </c>
      <c r="B117" s="399" t="s">
        <v>70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</row>
    <row r="118" spans="1:27" x14ac:dyDescent="0.25">
      <c r="A118" s="533"/>
      <c r="B118" s="400" t="s">
        <v>1</v>
      </c>
      <c r="C118" s="401"/>
      <c r="D118" s="401"/>
      <c r="E118" s="401"/>
      <c r="F118" s="401"/>
      <c r="G118" s="401"/>
      <c r="H118" s="401"/>
      <c r="I118" s="401"/>
      <c r="J118" s="401"/>
      <c r="K118" s="401"/>
      <c r="L118" s="401"/>
      <c r="M118" s="401"/>
      <c r="N118" s="401"/>
      <c r="O118" s="401"/>
      <c r="P118" s="401"/>
      <c r="Q118" s="401"/>
      <c r="R118" s="401"/>
      <c r="S118" s="401"/>
      <c r="T118" s="401"/>
      <c r="U118" s="401"/>
      <c r="V118" s="401"/>
      <c r="W118" s="401"/>
      <c r="X118" s="401"/>
      <c r="Y118" s="401"/>
      <c r="Z118" s="401"/>
      <c r="AA118" s="401"/>
    </row>
    <row r="119" spans="1:27" x14ac:dyDescent="0.25">
      <c r="A119" s="533"/>
      <c r="B119" s="400" t="s">
        <v>1</v>
      </c>
      <c r="C119" s="401"/>
      <c r="D119" s="401"/>
      <c r="E119" s="401"/>
      <c r="F119" s="401"/>
      <c r="G119" s="401"/>
      <c r="H119" s="401"/>
      <c r="I119" s="401"/>
      <c r="J119" s="401"/>
      <c r="K119" s="401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401"/>
      <c r="Z119" s="401"/>
      <c r="AA119" s="401"/>
    </row>
    <row r="120" spans="1:27" ht="30" x14ac:dyDescent="0.25">
      <c r="A120" s="533"/>
      <c r="B120" s="143" t="s">
        <v>71</v>
      </c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</row>
    <row r="121" spans="1:27" x14ac:dyDescent="0.25">
      <c r="A121" s="142" t="s">
        <v>1</v>
      </c>
      <c r="B121" s="140" t="s">
        <v>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ht="30" x14ac:dyDescent="0.25">
      <c r="A122" s="141"/>
      <c r="B122" s="350" t="s">
        <v>72</v>
      </c>
      <c r="C122" s="403">
        <f>IF(Założenia_Predpoklady!$O$18=0,0,IF(C96&gt;0,C120+C116+C112+C108+C104+C100,0))</f>
        <v>0</v>
      </c>
      <c r="D122" s="403">
        <f>IF(Założenia_Predpoklady!$O$18=0,0,IF(D96&gt;0,D120+D116+D112+D108+D104+D100,0))</f>
        <v>0</v>
      </c>
      <c r="E122" s="403">
        <f>IF(Założenia_Predpoklady!$O$18=0,0,IF(E96&gt;0,E120+E116+E112+E108+E104+E100,0))</f>
        <v>0</v>
      </c>
      <c r="F122" s="403">
        <f>IF(Założenia_Predpoklady!$O$18=0,0,IF(F96&gt;0,F120+F116+F112+F108+F104+F100,0))</f>
        <v>0</v>
      </c>
      <c r="G122" s="403">
        <f>IF(Założenia_Predpoklady!$O$18=0,0,IF(G96&gt;0,G120+G116+G112+G108+G104+G100,0))</f>
        <v>0</v>
      </c>
      <c r="H122" s="403">
        <f>IF(Założenia_Predpoklady!$O$18=0,0,IF(H96&gt;0,H120+H116+H112+H108+H104+H100,0))</f>
        <v>0</v>
      </c>
      <c r="I122" s="403">
        <f>IF(Założenia_Predpoklady!$O$18=0,0,IF(I96&gt;0,I120+I116+I112+I108+I104+I100,0))</f>
        <v>0</v>
      </c>
      <c r="J122" s="403">
        <f>IF(Założenia_Predpoklady!$O$18=0,0,IF(J96&gt;0,J120+J116+J112+J108+J104+J100,0))</f>
        <v>0</v>
      </c>
      <c r="K122" s="403">
        <f>IF(Założenia_Predpoklady!$O$18=0,0,IF(K96&gt;0,K120+K116+K112+K108+K104+K100,0))</f>
        <v>0</v>
      </c>
      <c r="L122" s="403">
        <f>IF(Założenia_Predpoklady!$O$18=0,0,IF(L96&gt;0,L120+L116+L112+L108+L104+L100,0))</f>
        <v>0</v>
      </c>
      <c r="M122" s="403">
        <f>IF(Założenia_Predpoklady!$O$18=0,0,IF(M96&gt;0,M120+M116+M112+M108+M104+M100,0))</f>
        <v>0</v>
      </c>
      <c r="N122" s="403">
        <f>IF(Założenia_Predpoklady!$O$18=0,0,IF(N96&gt;0,N120+N116+N112+N108+N104+N100,0))</f>
        <v>0</v>
      </c>
      <c r="O122" s="403">
        <f>IF(Założenia_Predpoklady!$O$18=0,0,IF(O96&gt;0,O120+O116+O112+O108+O104+O100,0))</f>
        <v>0</v>
      </c>
      <c r="P122" s="403">
        <f>IF(Założenia_Predpoklady!$O$18=0,0,IF(P96&gt;0,P120+P116+P112+P108+P104+P100,0))</f>
        <v>0</v>
      </c>
      <c r="Q122" s="403">
        <f>IF(Założenia_Predpoklady!$O$18=0,0,IF(Q96&gt;0,Q120+Q116+Q112+Q108+Q104+Q100,0))</f>
        <v>0</v>
      </c>
      <c r="R122" s="403">
        <f>IF(Założenia_Predpoklady!$O$18=0,0,IF(R96&gt;0,R120+R116+R112+R108+R104+R100,0))</f>
        <v>0</v>
      </c>
      <c r="S122" s="403">
        <f>IF(Założenia_Predpoklady!$O$18=0,0,IF(S96&gt;0,S120+S116+S112+S108+S104+S100,0))</f>
        <v>0</v>
      </c>
      <c r="T122" s="403">
        <f>IF(Założenia_Predpoklady!$O$18=0,0,IF(T96&gt;0,T120+T116+T112+T108+T104+T100,0))</f>
        <v>0</v>
      </c>
      <c r="U122" s="403">
        <f>IF(Założenia_Predpoklady!$O$18=0,0,IF(U96&gt;0,U120+U116+U112+U108+U104+U100,0))</f>
        <v>0</v>
      </c>
      <c r="V122" s="403">
        <f>IF(Założenia_Predpoklady!$O$18=0,0,IF(V96&gt;0,V120+V116+V112+V108+V104+V100,0))</f>
        <v>0</v>
      </c>
      <c r="W122" s="403">
        <f>IF(Założenia_Predpoklady!$O$18=0,0,IF(W96&gt;0,W120+W116+W112+W108+W104+W100,0))</f>
        <v>0</v>
      </c>
      <c r="X122" s="403">
        <f>IF(Założenia_Predpoklady!$O$18=0,0,IF(X96&gt;0,X120+X116+X112+X108+X104+X100,0))</f>
        <v>0</v>
      </c>
      <c r="Y122" s="403">
        <f>IF(Założenia_Predpoklady!$O$18=0,0,IF(Y96&gt;0,Y120+Y116+Y112+Y108+Y104+Y100,0))</f>
        <v>0</v>
      </c>
      <c r="Z122" s="403">
        <f>IF(Założenia_Predpoklady!$O$18=0,0,IF(Z96&gt;0,Z120+Z116+Z112+Z108+Z104+Z100,0))</f>
        <v>0</v>
      </c>
      <c r="AA122" s="403">
        <f>IF(Założenia_Predpoklady!$O$18=0,0,IF(AA96&gt;0,AA120+AA116+AA112+AA108+AA104+AA100,0))</f>
        <v>0</v>
      </c>
    </row>
    <row r="123" spans="1:27" ht="30" x14ac:dyDescent="0.25">
      <c r="A123" s="329"/>
      <c r="B123" s="291" t="s">
        <v>253</v>
      </c>
      <c r="C123" s="292">
        <f>SUM(C122:AA122)</f>
        <v>0</v>
      </c>
      <c r="D123" s="330"/>
      <c r="E123" s="330"/>
      <c r="F123" s="330"/>
      <c r="G123" s="330"/>
      <c r="H123" s="330"/>
      <c r="I123" s="330"/>
      <c r="J123" s="330"/>
      <c r="K123" s="330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</row>
    <row r="124" spans="1:27" ht="30" x14ac:dyDescent="0.25">
      <c r="A124" s="329"/>
      <c r="B124" s="291" t="s">
        <v>91</v>
      </c>
      <c r="C124" s="292">
        <f>NPV(Założenia_Predpoklady!$C$7,Dane_Dáta!D122:AA122)+Dane_Dáta!C122</f>
        <v>0</v>
      </c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</row>
    <row r="126" spans="1:27" ht="30" x14ac:dyDescent="0.25">
      <c r="B126" s="260" t="s">
        <v>234</v>
      </c>
    </row>
    <row r="127" spans="1:27" ht="46.5" customHeight="1" x14ac:dyDescent="0.25">
      <c r="B127" s="527" t="s">
        <v>2</v>
      </c>
      <c r="C127" s="527"/>
      <c r="D127" s="527"/>
      <c r="E127" s="527"/>
      <c r="F127" s="527"/>
      <c r="G127" s="514" t="s">
        <v>336</v>
      </c>
      <c r="H127" s="514"/>
      <c r="I127" s="514"/>
      <c r="J127" s="514"/>
      <c r="K127" s="514"/>
      <c r="L127" s="514"/>
      <c r="M127" s="298"/>
      <c r="N127" s="298"/>
      <c r="O127" s="298"/>
      <c r="P127" s="298"/>
      <c r="Q127" s="298"/>
      <c r="R127" s="298"/>
      <c r="S127" s="298"/>
      <c r="T127" s="298"/>
      <c r="U127" s="467"/>
      <c r="V127" s="467"/>
      <c r="W127" s="467"/>
    </row>
    <row r="128" spans="1:27" x14ac:dyDescent="0.25">
      <c r="M128" s="46"/>
      <c r="N128" s="46"/>
      <c r="O128" s="46"/>
      <c r="P128" s="46"/>
      <c r="Q128" s="46"/>
      <c r="R128" s="46"/>
      <c r="S128" s="46"/>
      <c r="T128" s="46"/>
      <c r="U128" s="467"/>
      <c r="V128" s="467"/>
      <c r="W128" s="467"/>
    </row>
    <row r="130" spans="1:27" ht="30" x14ac:dyDescent="0.25">
      <c r="B130" s="260" t="s">
        <v>76</v>
      </c>
    </row>
    <row r="131" spans="1:27" ht="30" customHeight="1" x14ac:dyDescent="0.25">
      <c r="B131" s="496" t="s">
        <v>254</v>
      </c>
      <c r="C131" s="496"/>
      <c r="D131" s="496"/>
    </row>
    <row r="132" spans="1:27" ht="30" x14ac:dyDescent="0.25">
      <c r="B132" s="280" t="s">
        <v>78</v>
      </c>
      <c r="C132" s="196">
        <f>Założenia_Predpoklady!C21</f>
        <v>0</v>
      </c>
      <c r="D132" s="281" t="s">
        <v>28</v>
      </c>
      <c r="J132" s="3"/>
      <c r="K132" s="3"/>
    </row>
    <row r="133" spans="1:27" ht="30" x14ac:dyDescent="0.25">
      <c r="B133" s="280" t="s">
        <v>79</v>
      </c>
      <c r="C133" s="196">
        <f>Założenia_Predpoklady!C22</f>
        <v>0</v>
      </c>
      <c r="D133" s="281" t="s">
        <v>28</v>
      </c>
      <c r="J133" s="161"/>
      <c r="K133" s="157"/>
    </row>
    <row r="134" spans="1:27" ht="30" x14ac:dyDescent="0.25">
      <c r="B134" s="202" t="s">
        <v>80</v>
      </c>
      <c r="C134" s="156">
        <f>C132*C133</f>
        <v>0</v>
      </c>
      <c r="D134" s="282" t="s">
        <v>20</v>
      </c>
      <c r="E134" s="153"/>
      <c r="F134" s="153"/>
      <c r="G134" s="153"/>
      <c r="H134" s="153"/>
      <c r="I134" s="153"/>
      <c r="J134" s="161"/>
      <c r="K134" s="157"/>
    </row>
    <row r="135" spans="1:27" ht="30" x14ac:dyDescent="0.25">
      <c r="B135" s="202" t="s">
        <v>81</v>
      </c>
      <c r="C135" s="197">
        <f>Założenia_Predpoklady!C24</f>
        <v>0</v>
      </c>
      <c r="D135" s="487" t="str">
        <f>Założenia_Predpoklady!D24</f>
        <v/>
      </c>
      <c r="E135" s="488"/>
      <c r="F135" s="488"/>
      <c r="G135" s="488"/>
      <c r="H135" s="488"/>
      <c r="I135" s="489"/>
      <c r="J135" s="161"/>
      <c r="K135" s="157"/>
    </row>
    <row r="136" spans="1:27" x14ac:dyDescent="0.25">
      <c r="B136" s="95"/>
      <c r="C136" s="154"/>
      <c r="D136" s="154"/>
      <c r="E136" s="154"/>
      <c r="F136" s="154"/>
      <c r="G136" s="154"/>
      <c r="H136" s="154"/>
      <c r="I136" s="154"/>
      <c r="J136" s="154"/>
      <c r="K136" s="154"/>
    </row>
    <row r="137" spans="1:27" ht="30.75" customHeight="1" x14ac:dyDescent="0.25">
      <c r="B137" s="524" t="s">
        <v>343</v>
      </c>
      <c r="C137" s="525"/>
      <c r="D137" s="526"/>
      <c r="E137" s="154"/>
      <c r="F137" s="353"/>
      <c r="G137" s="154"/>
      <c r="H137" s="154"/>
      <c r="I137" s="154"/>
      <c r="J137" s="154"/>
      <c r="K137" s="154"/>
    </row>
    <row r="138" spans="1:27" ht="30" x14ac:dyDescent="0.25">
      <c r="B138" s="283" t="s">
        <v>83</v>
      </c>
      <c r="C138" s="405"/>
      <c r="D138" s="284" t="s">
        <v>24</v>
      </c>
      <c r="E138" s="154"/>
      <c r="F138" s="154"/>
      <c r="G138" s="154"/>
      <c r="H138" s="154"/>
      <c r="I138" s="154"/>
      <c r="J138" s="154"/>
      <c r="K138" s="154"/>
    </row>
    <row r="139" spans="1:27" ht="30" x14ac:dyDescent="0.25">
      <c r="B139" s="283" t="s">
        <v>82</v>
      </c>
      <c r="C139" s="405"/>
      <c r="D139" s="284" t="s">
        <v>24</v>
      </c>
      <c r="E139" s="154"/>
      <c r="F139" s="154"/>
      <c r="G139" s="154"/>
      <c r="H139" s="154"/>
      <c r="I139" s="154"/>
      <c r="J139" s="154"/>
      <c r="K139" s="154"/>
    </row>
    <row r="140" spans="1:27" ht="30" x14ac:dyDescent="0.25">
      <c r="B140" s="283" t="s">
        <v>84</v>
      </c>
      <c r="C140" s="405"/>
      <c r="D140" s="284" t="s">
        <v>24</v>
      </c>
      <c r="E140" s="154"/>
      <c r="F140" s="154"/>
      <c r="G140" s="154"/>
      <c r="H140" s="154"/>
      <c r="I140" s="154"/>
      <c r="J140" s="154"/>
      <c r="K140" s="154"/>
    </row>
    <row r="141" spans="1:27" x14ac:dyDescent="0.25">
      <c r="B141" s="155"/>
      <c r="C141" s="154"/>
      <c r="D141" s="154"/>
      <c r="E141" s="154"/>
      <c r="F141" s="154"/>
      <c r="G141" s="154"/>
      <c r="H141" s="154"/>
      <c r="I141" s="154"/>
      <c r="J141" s="154"/>
      <c r="K141" s="154"/>
    </row>
    <row r="142" spans="1:27" ht="30" x14ac:dyDescent="0.25">
      <c r="A142" s="1"/>
      <c r="B142" s="211" t="s">
        <v>255</v>
      </c>
      <c r="C142" s="158">
        <f>C96</f>
        <v>2016</v>
      </c>
      <c r="D142" s="158">
        <f t="shared" ref="D142:Z142" si="121">D96</f>
        <v>2017</v>
      </c>
      <c r="E142" s="158">
        <f t="shared" si="121"/>
        <v>2018</v>
      </c>
      <c r="F142" s="158">
        <f t="shared" si="121"/>
        <v>2019</v>
      </c>
      <c r="G142" s="158">
        <f t="shared" si="121"/>
        <v>2020</v>
      </c>
      <c r="H142" s="158">
        <f t="shared" si="121"/>
        <v>2021</v>
      </c>
      <c r="I142" s="158">
        <f t="shared" si="121"/>
        <v>2022</v>
      </c>
      <c r="J142" s="158">
        <f t="shared" si="121"/>
        <v>2023</v>
      </c>
      <c r="K142" s="158">
        <f t="shared" si="121"/>
        <v>2024</v>
      </c>
      <c r="L142" s="158">
        <f t="shared" si="121"/>
        <v>2025</v>
      </c>
      <c r="M142" s="158">
        <f t="shared" si="121"/>
        <v>2026</v>
      </c>
      <c r="N142" s="158">
        <f t="shared" si="121"/>
        <v>2027</v>
      </c>
      <c r="O142" s="158">
        <f t="shared" si="121"/>
        <v>2028</v>
      </c>
      <c r="P142" s="158">
        <f t="shared" si="121"/>
        <v>2029</v>
      </c>
      <c r="Q142" s="158">
        <f t="shared" si="121"/>
        <v>2030</v>
      </c>
      <c r="R142" s="158">
        <f t="shared" si="121"/>
        <v>2031</v>
      </c>
      <c r="S142" s="158">
        <f t="shared" si="121"/>
        <v>2032</v>
      </c>
      <c r="T142" s="158">
        <f t="shared" si="121"/>
        <v>2033</v>
      </c>
      <c r="U142" s="158">
        <f t="shared" si="121"/>
        <v>2034</v>
      </c>
      <c r="V142" s="158">
        <f t="shared" si="121"/>
        <v>2035</v>
      </c>
      <c r="W142" s="158">
        <f t="shared" si="121"/>
        <v>2036</v>
      </c>
      <c r="X142" s="158">
        <f t="shared" si="121"/>
        <v>2037</v>
      </c>
      <c r="Y142" s="158">
        <f t="shared" si="121"/>
        <v>2038</v>
      </c>
      <c r="Z142" s="158">
        <f t="shared" si="121"/>
        <v>2039</v>
      </c>
      <c r="AA142" s="158">
        <f t="shared" ref="AA142" si="122">AA96</f>
        <v>2040</v>
      </c>
    </row>
    <row r="143" spans="1:27" ht="30" x14ac:dyDescent="0.25">
      <c r="A143" s="1"/>
      <c r="B143" s="287" t="s">
        <v>85</v>
      </c>
      <c r="C143" s="362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363"/>
      <c r="R143" s="363"/>
      <c r="S143" s="363"/>
      <c r="T143" s="363"/>
      <c r="U143" s="363"/>
      <c r="V143" s="363"/>
      <c r="W143" s="363"/>
      <c r="X143" s="363"/>
      <c r="Y143" s="363"/>
      <c r="Z143" s="363"/>
      <c r="AA143" s="364"/>
    </row>
    <row r="144" spans="1:27" ht="30" x14ac:dyDescent="0.25">
      <c r="A144" s="8"/>
      <c r="B144" s="285" t="s">
        <v>83</v>
      </c>
      <c r="C144" s="406"/>
      <c r="D144" s="406"/>
      <c r="E144" s="406"/>
      <c r="F144" s="406"/>
      <c r="G144" s="406"/>
      <c r="H144" s="406"/>
      <c r="I144" s="406"/>
      <c r="J144" s="406"/>
      <c r="K144" s="406"/>
      <c r="L144" s="407"/>
      <c r="M144" s="407"/>
      <c r="N144" s="407"/>
      <c r="O144" s="407"/>
      <c r="P144" s="407"/>
      <c r="Q144" s="407"/>
      <c r="R144" s="407">
        <v>1</v>
      </c>
      <c r="S144" s="407"/>
      <c r="T144" s="407"/>
      <c r="U144" s="407"/>
      <c r="V144" s="407"/>
      <c r="W144" s="407"/>
      <c r="X144" s="407"/>
      <c r="Y144" s="407"/>
      <c r="Z144" s="407"/>
      <c r="AA144" s="408"/>
    </row>
    <row r="145" spans="1:27" ht="30" x14ac:dyDescent="0.25">
      <c r="A145" s="8"/>
      <c r="B145" s="285" t="s">
        <v>82</v>
      </c>
      <c r="C145" s="409"/>
      <c r="D145" s="409"/>
      <c r="E145" s="409"/>
      <c r="F145" s="409"/>
      <c r="G145" s="409"/>
      <c r="H145" s="409"/>
      <c r="I145" s="409"/>
      <c r="J145" s="409"/>
      <c r="K145" s="409">
        <v>1</v>
      </c>
      <c r="L145" s="410"/>
      <c r="M145" s="410"/>
      <c r="N145" s="410"/>
      <c r="O145" s="410"/>
      <c r="P145" s="410"/>
      <c r="Q145" s="410"/>
      <c r="R145" s="410"/>
      <c r="S145" s="410"/>
      <c r="T145" s="410"/>
      <c r="U145" s="410"/>
      <c r="V145" s="410"/>
      <c r="W145" s="410"/>
      <c r="X145" s="410"/>
      <c r="Y145" s="410"/>
      <c r="Z145" s="410"/>
      <c r="AA145" s="411">
        <v>1</v>
      </c>
    </row>
    <row r="146" spans="1:27" ht="30" x14ac:dyDescent="0.25">
      <c r="A146" s="8"/>
      <c r="B146" s="288" t="s">
        <v>256</v>
      </c>
      <c r="C146" s="365"/>
      <c r="D146" s="366"/>
      <c r="E146" s="366"/>
      <c r="F146" s="366"/>
      <c r="G146" s="366"/>
      <c r="H146" s="366"/>
      <c r="I146" s="366"/>
      <c r="J146" s="366"/>
      <c r="K146" s="366"/>
      <c r="L146" s="366"/>
      <c r="M146" s="366"/>
      <c r="N146" s="366"/>
      <c r="O146" s="366"/>
      <c r="P146" s="366"/>
      <c r="Q146" s="366"/>
      <c r="R146" s="366"/>
      <c r="S146" s="366"/>
      <c r="T146" s="366"/>
      <c r="U146" s="366"/>
      <c r="V146" s="366"/>
      <c r="W146" s="366"/>
      <c r="X146" s="366"/>
      <c r="Y146" s="366"/>
      <c r="Z146" s="366"/>
      <c r="AA146" s="367"/>
    </row>
    <row r="147" spans="1:27" ht="30" x14ac:dyDescent="0.25">
      <c r="A147" s="8"/>
      <c r="B147" s="286" t="s">
        <v>83</v>
      </c>
      <c r="C147" s="412"/>
      <c r="D147" s="412"/>
      <c r="E147" s="412"/>
      <c r="F147" s="412"/>
      <c r="G147" s="412"/>
      <c r="H147" s="412"/>
      <c r="I147" s="412"/>
      <c r="J147" s="412"/>
      <c r="K147" s="412"/>
      <c r="L147" s="412"/>
      <c r="M147" s="412"/>
      <c r="N147" s="412"/>
      <c r="O147" s="412">
        <v>1</v>
      </c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3">
        <v>1</v>
      </c>
    </row>
    <row r="148" spans="1:27" ht="30" x14ac:dyDescent="0.25">
      <c r="A148" s="8"/>
      <c r="B148" s="286" t="s">
        <v>82</v>
      </c>
      <c r="C148" s="414"/>
      <c r="D148" s="414"/>
      <c r="E148" s="414"/>
      <c r="F148" s="414"/>
      <c r="G148" s="414"/>
      <c r="H148" s="414"/>
      <c r="I148" s="414">
        <v>1</v>
      </c>
      <c r="J148" s="414"/>
      <c r="K148" s="414"/>
      <c r="L148" s="414"/>
      <c r="M148" s="414"/>
      <c r="N148" s="414"/>
      <c r="O148" s="414"/>
      <c r="P148" s="414"/>
      <c r="Q148" s="414"/>
      <c r="R148" s="414"/>
      <c r="S148" s="414">
        <v>1</v>
      </c>
      <c r="T148" s="414"/>
      <c r="U148" s="414"/>
      <c r="V148" s="414"/>
      <c r="W148" s="414"/>
      <c r="X148" s="414"/>
      <c r="Y148" s="414">
        <v>1</v>
      </c>
      <c r="Z148" s="414"/>
      <c r="AA148" s="415"/>
    </row>
    <row r="149" spans="1:27" ht="30" x14ac:dyDescent="0.25">
      <c r="A149" s="8"/>
      <c r="B149" s="289" t="s">
        <v>257</v>
      </c>
      <c r="C149" s="368"/>
      <c r="D149" s="369"/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69"/>
      <c r="P149" s="369"/>
      <c r="Q149" s="369"/>
      <c r="R149" s="369"/>
      <c r="S149" s="369"/>
      <c r="T149" s="369"/>
      <c r="U149" s="369"/>
      <c r="V149" s="369"/>
      <c r="W149" s="369"/>
      <c r="X149" s="369"/>
      <c r="Y149" s="369"/>
      <c r="Z149" s="369"/>
      <c r="AA149" s="370"/>
    </row>
    <row r="150" spans="1:27" ht="30" x14ac:dyDescent="0.25">
      <c r="A150" s="8"/>
      <c r="B150" s="343" t="s">
        <v>83</v>
      </c>
      <c r="C150" s="416"/>
      <c r="D150" s="416">
        <v>1</v>
      </c>
      <c r="E150" s="416"/>
      <c r="F150" s="416"/>
      <c r="G150" s="416"/>
      <c r="H150" s="416"/>
      <c r="I150" s="416"/>
      <c r="J150" s="416"/>
      <c r="K150" s="416">
        <v>1</v>
      </c>
      <c r="L150" s="416"/>
      <c r="M150" s="416"/>
      <c r="N150" s="416"/>
      <c r="O150" s="416"/>
      <c r="P150" s="416"/>
      <c r="Q150" s="416"/>
      <c r="R150" s="416">
        <v>1</v>
      </c>
      <c r="S150" s="416"/>
      <c r="T150" s="416"/>
      <c r="U150" s="416"/>
      <c r="V150" s="416"/>
      <c r="W150" s="416"/>
      <c r="X150" s="416"/>
      <c r="Y150" s="416"/>
      <c r="Z150" s="416">
        <v>1</v>
      </c>
      <c r="AA150" s="417"/>
    </row>
    <row r="151" spans="1:27" ht="30" x14ac:dyDescent="0.25">
      <c r="A151" s="8"/>
      <c r="B151" s="343" t="s">
        <v>82</v>
      </c>
      <c r="C151" s="418"/>
      <c r="D151" s="418"/>
      <c r="E151" s="418"/>
      <c r="F151" s="418"/>
      <c r="G151" s="418"/>
      <c r="H151" s="418">
        <v>1</v>
      </c>
      <c r="I151" s="418"/>
      <c r="J151" s="418"/>
      <c r="K151" s="418"/>
      <c r="L151" s="418"/>
      <c r="M151" s="418"/>
      <c r="N151" s="418"/>
      <c r="O151" s="418">
        <v>1</v>
      </c>
      <c r="P151" s="418"/>
      <c r="Q151" s="418"/>
      <c r="R151" s="418"/>
      <c r="S151" s="418"/>
      <c r="T151" s="418"/>
      <c r="U151" s="418"/>
      <c r="V151" s="418">
        <v>1</v>
      </c>
      <c r="W151" s="418"/>
      <c r="X151" s="418"/>
      <c r="Y151" s="418"/>
      <c r="Z151" s="418"/>
      <c r="AA151" s="419"/>
    </row>
    <row r="152" spans="1:27" hidden="1" x14ac:dyDescent="0.25">
      <c r="A152" s="8"/>
      <c r="B152" s="479">
        <f>SUM(C152:AA152)</f>
        <v>0</v>
      </c>
      <c r="C152" s="478">
        <f>IF(OR(C144+C145&gt;1,C147+C148&gt;1,C150+C151&gt;1),1,0)</f>
        <v>0</v>
      </c>
      <c r="D152" s="478">
        <f t="shared" ref="D152:AA152" si="123">IF(OR(D144+D145&gt;1,D147+D148&gt;1,D150+D151&gt;1),1,0)</f>
        <v>0</v>
      </c>
      <c r="E152" s="478">
        <f t="shared" si="123"/>
        <v>0</v>
      </c>
      <c r="F152" s="478">
        <f t="shared" si="123"/>
        <v>0</v>
      </c>
      <c r="G152" s="478">
        <f t="shared" si="123"/>
        <v>0</v>
      </c>
      <c r="H152" s="478">
        <f t="shared" si="123"/>
        <v>0</v>
      </c>
      <c r="I152" s="478">
        <f t="shared" si="123"/>
        <v>0</v>
      </c>
      <c r="J152" s="478">
        <f t="shared" si="123"/>
        <v>0</v>
      </c>
      <c r="K152" s="478">
        <f t="shared" si="123"/>
        <v>0</v>
      </c>
      <c r="L152" s="478">
        <f t="shared" si="123"/>
        <v>0</v>
      </c>
      <c r="M152" s="478">
        <f t="shared" si="123"/>
        <v>0</v>
      </c>
      <c r="N152" s="478">
        <f t="shared" si="123"/>
        <v>0</v>
      </c>
      <c r="O152" s="478">
        <f t="shared" si="123"/>
        <v>0</v>
      </c>
      <c r="P152" s="478">
        <f t="shared" si="123"/>
        <v>0</v>
      </c>
      <c r="Q152" s="478">
        <f t="shared" si="123"/>
        <v>0</v>
      </c>
      <c r="R152" s="478">
        <f t="shared" si="123"/>
        <v>0</v>
      </c>
      <c r="S152" s="478">
        <f t="shared" si="123"/>
        <v>0</v>
      </c>
      <c r="T152" s="478">
        <f t="shared" si="123"/>
        <v>0</v>
      </c>
      <c r="U152" s="478">
        <f t="shared" si="123"/>
        <v>0</v>
      </c>
      <c r="V152" s="478">
        <f t="shared" si="123"/>
        <v>0</v>
      </c>
      <c r="W152" s="478">
        <f t="shared" si="123"/>
        <v>0</v>
      </c>
      <c r="X152" s="478">
        <f t="shared" si="123"/>
        <v>0</v>
      </c>
      <c r="Y152" s="478">
        <f t="shared" si="123"/>
        <v>0</v>
      </c>
      <c r="Z152" s="478">
        <f t="shared" si="123"/>
        <v>0</v>
      </c>
      <c r="AA152" s="478">
        <f t="shared" si="123"/>
        <v>0</v>
      </c>
    </row>
    <row r="153" spans="1:27" hidden="1" x14ac:dyDescent="0.25">
      <c r="A153" s="8"/>
      <c r="B153" s="480"/>
      <c r="C153" s="477" t="str">
        <f>IF(C152,"BŁĄD!","")</f>
        <v/>
      </c>
      <c r="D153" s="477" t="str">
        <f t="shared" ref="D153:AA153" si="124">IF(D152,"BŁĄD!","")</f>
        <v/>
      </c>
      <c r="E153" s="477" t="str">
        <f t="shared" si="124"/>
        <v/>
      </c>
      <c r="F153" s="477" t="str">
        <f t="shared" si="124"/>
        <v/>
      </c>
      <c r="G153" s="477" t="str">
        <f t="shared" si="124"/>
        <v/>
      </c>
      <c r="H153" s="477" t="str">
        <f t="shared" si="124"/>
        <v/>
      </c>
      <c r="I153" s="477" t="str">
        <f t="shared" si="124"/>
        <v/>
      </c>
      <c r="J153" s="477" t="str">
        <f t="shared" si="124"/>
        <v/>
      </c>
      <c r="K153" s="477" t="str">
        <f t="shared" si="124"/>
        <v/>
      </c>
      <c r="L153" s="477" t="str">
        <f t="shared" si="124"/>
        <v/>
      </c>
      <c r="M153" s="477" t="str">
        <f t="shared" si="124"/>
        <v/>
      </c>
      <c r="N153" s="477" t="str">
        <f t="shared" si="124"/>
        <v/>
      </c>
      <c r="O153" s="477" t="str">
        <f t="shared" si="124"/>
        <v/>
      </c>
      <c r="P153" s="477" t="str">
        <f t="shared" si="124"/>
        <v/>
      </c>
      <c r="Q153" s="477" t="str">
        <f t="shared" si="124"/>
        <v/>
      </c>
      <c r="R153" s="477" t="str">
        <f t="shared" si="124"/>
        <v/>
      </c>
      <c r="S153" s="477" t="str">
        <f t="shared" si="124"/>
        <v/>
      </c>
      <c r="T153" s="477" t="str">
        <f t="shared" si="124"/>
        <v/>
      </c>
      <c r="U153" s="477" t="str">
        <f t="shared" si="124"/>
        <v/>
      </c>
      <c r="V153" s="477" t="str">
        <f t="shared" si="124"/>
        <v/>
      </c>
      <c r="W153" s="477" t="str">
        <f t="shared" si="124"/>
        <v/>
      </c>
      <c r="X153" s="477" t="str">
        <f t="shared" si="124"/>
        <v/>
      </c>
      <c r="Y153" s="477" t="str">
        <f t="shared" si="124"/>
        <v/>
      </c>
      <c r="Z153" s="477" t="str">
        <f t="shared" si="124"/>
        <v/>
      </c>
      <c r="AA153" s="477" t="str">
        <f t="shared" si="124"/>
        <v/>
      </c>
    </row>
    <row r="154" spans="1:27" ht="30" x14ac:dyDescent="0.25">
      <c r="A154" s="8"/>
      <c r="B154" s="260" t="s">
        <v>234</v>
      </c>
      <c r="C154" s="472"/>
      <c r="D154" s="477"/>
      <c r="E154" s="472"/>
      <c r="F154" s="472"/>
      <c r="G154" s="472"/>
      <c r="H154" s="472"/>
      <c r="I154" s="472"/>
      <c r="J154" s="472"/>
      <c r="K154" s="472"/>
      <c r="L154" s="472"/>
      <c r="M154" s="472"/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72"/>
    </row>
    <row r="155" spans="1:27" x14ac:dyDescent="0.25">
      <c r="A155" s="8"/>
      <c r="B155" s="473" t="s">
        <v>422</v>
      </c>
      <c r="C155" s="529" t="s">
        <v>423</v>
      </c>
      <c r="D155" s="529"/>
      <c r="E155" s="529"/>
      <c r="F155" s="472"/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72"/>
      <c r="R155" s="472"/>
      <c r="S155" s="472"/>
      <c r="T155" s="472"/>
      <c r="U155" s="472"/>
      <c r="V155" s="472"/>
      <c r="W155" s="472"/>
      <c r="X155" s="472"/>
      <c r="Y155" s="472"/>
      <c r="Z155" s="472"/>
      <c r="AA155" s="472"/>
    </row>
    <row r="156" spans="1:27" ht="30.75" customHeight="1" x14ac:dyDescent="0.25">
      <c r="A156" s="8"/>
      <c r="B156" s="531" t="str">
        <f>IF(B152&gt;0,"Remont okresowy i cząstkowy nie może występować w tym samym roku.
Pravidelné a čiastkové opravy sa nesmú realizovať v tom istom roku.","")</f>
        <v/>
      </c>
      <c r="C156" s="531"/>
      <c r="D156" s="531"/>
      <c r="E156" s="531"/>
      <c r="F156" s="472"/>
      <c r="G156" s="472"/>
      <c r="H156" s="472"/>
      <c r="I156" s="472"/>
      <c r="J156" s="472"/>
      <c r="K156" s="472"/>
      <c r="L156" s="472"/>
      <c r="M156" s="472"/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  <c r="AA156" s="472"/>
    </row>
    <row r="157" spans="1:27" x14ac:dyDescent="0.25">
      <c r="B157" s="155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</row>
    <row r="158" spans="1:27" ht="30" x14ac:dyDescent="0.25">
      <c r="B158" s="211" t="s">
        <v>337</v>
      </c>
      <c r="C158" s="160">
        <f>C142</f>
        <v>2016</v>
      </c>
      <c r="D158" s="160">
        <f t="shared" ref="D158:AA158" si="125">D142</f>
        <v>2017</v>
      </c>
      <c r="E158" s="160">
        <f t="shared" si="125"/>
        <v>2018</v>
      </c>
      <c r="F158" s="160">
        <f t="shared" si="125"/>
        <v>2019</v>
      </c>
      <c r="G158" s="160">
        <f t="shared" si="125"/>
        <v>2020</v>
      </c>
      <c r="H158" s="160">
        <f t="shared" si="125"/>
        <v>2021</v>
      </c>
      <c r="I158" s="160">
        <f t="shared" si="125"/>
        <v>2022</v>
      </c>
      <c r="J158" s="160">
        <f t="shared" si="125"/>
        <v>2023</v>
      </c>
      <c r="K158" s="160">
        <f t="shared" si="125"/>
        <v>2024</v>
      </c>
      <c r="L158" s="160">
        <f t="shared" si="125"/>
        <v>2025</v>
      </c>
      <c r="M158" s="160">
        <f t="shared" si="125"/>
        <v>2026</v>
      </c>
      <c r="N158" s="160">
        <f t="shared" si="125"/>
        <v>2027</v>
      </c>
      <c r="O158" s="160">
        <f t="shared" si="125"/>
        <v>2028</v>
      </c>
      <c r="P158" s="160">
        <f t="shared" si="125"/>
        <v>2029</v>
      </c>
      <c r="Q158" s="160">
        <f t="shared" si="125"/>
        <v>2030</v>
      </c>
      <c r="R158" s="160">
        <f t="shared" si="125"/>
        <v>2031</v>
      </c>
      <c r="S158" s="160">
        <f t="shared" si="125"/>
        <v>2032</v>
      </c>
      <c r="T158" s="160">
        <f t="shared" si="125"/>
        <v>2033</v>
      </c>
      <c r="U158" s="160">
        <f t="shared" si="125"/>
        <v>2034</v>
      </c>
      <c r="V158" s="160">
        <f t="shared" si="125"/>
        <v>2035</v>
      </c>
      <c r="W158" s="160">
        <f t="shared" si="125"/>
        <v>2036</v>
      </c>
      <c r="X158" s="160">
        <f t="shared" si="125"/>
        <v>2037</v>
      </c>
      <c r="Y158" s="160">
        <f t="shared" si="125"/>
        <v>2038</v>
      </c>
      <c r="Z158" s="160">
        <f t="shared" si="125"/>
        <v>2039</v>
      </c>
      <c r="AA158" s="160">
        <f t="shared" si="125"/>
        <v>2040</v>
      </c>
    </row>
    <row r="159" spans="1:27" ht="30" x14ac:dyDescent="0.25">
      <c r="B159" s="283" t="s">
        <v>83</v>
      </c>
      <c r="C159" s="159">
        <f>$C$134*$C$138*IF($C$135="A",C144,IF($C$135="B",C147,C150))</f>
        <v>0</v>
      </c>
      <c r="D159" s="159">
        <f t="shared" ref="D159:AA159" si="126">$C$134*$C$138*IF($C$135="A",D144,IF($C$135="B",D147,D150))</f>
        <v>0</v>
      </c>
      <c r="E159" s="159">
        <f t="shared" si="126"/>
        <v>0</v>
      </c>
      <c r="F159" s="159">
        <f t="shared" si="126"/>
        <v>0</v>
      </c>
      <c r="G159" s="159">
        <f t="shared" si="126"/>
        <v>0</v>
      </c>
      <c r="H159" s="159">
        <f t="shared" si="126"/>
        <v>0</v>
      </c>
      <c r="I159" s="159">
        <f t="shared" si="126"/>
        <v>0</v>
      </c>
      <c r="J159" s="159">
        <f t="shared" si="126"/>
        <v>0</v>
      </c>
      <c r="K159" s="159">
        <f t="shared" si="126"/>
        <v>0</v>
      </c>
      <c r="L159" s="159">
        <f t="shared" si="126"/>
        <v>0</v>
      </c>
      <c r="M159" s="159">
        <f t="shared" si="126"/>
        <v>0</v>
      </c>
      <c r="N159" s="159">
        <f t="shared" si="126"/>
        <v>0</v>
      </c>
      <c r="O159" s="159">
        <f t="shared" si="126"/>
        <v>0</v>
      </c>
      <c r="P159" s="159">
        <f t="shared" si="126"/>
        <v>0</v>
      </c>
      <c r="Q159" s="159">
        <f t="shared" si="126"/>
        <v>0</v>
      </c>
      <c r="R159" s="159">
        <f t="shared" si="126"/>
        <v>0</v>
      </c>
      <c r="S159" s="159">
        <f t="shared" si="126"/>
        <v>0</v>
      </c>
      <c r="T159" s="159">
        <f t="shared" si="126"/>
        <v>0</v>
      </c>
      <c r="U159" s="159">
        <f t="shared" si="126"/>
        <v>0</v>
      </c>
      <c r="V159" s="159">
        <f t="shared" si="126"/>
        <v>0</v>
      </c>
      <c r="W159" s="159">
        <f t="shared" si="126"/>
        <v>0</v>
      </c>
      <c r="X159" s="159">
        <f t="shared" si="126"/>
        <v>0</v>
      </c>
      <c r="Y159" s="159">
        <f t="shared" si="126"/>
        <v>0</v>
      </c>
      <c r="Z159" s="159">
        <f t="shared" si="126"/>
        <v>0</v>
      </c>
      <c r="AA159" s="159">
        <f t="shared" si="126"/>
        <v>0</v>
      </c>
    </row>
    <row r="160" spans="1:27" ht="30" x14ac:dyDescent="0.25">
      <c r="B160" s="283" t="s">
        <v>82</v>
      </c>
      <c r="C160" s="159">
        <f>$C$134*$C$139*IF($C$135="A",C145,IF($C$135="B",C148,C151))</f>
        <v>0</v>
      </c>
      <c r="D160" s="159">
        <f t="shared" ref="D160:AA160" si="127">$C$134*$C$139*IF($C$135="A",D145,IF($C$135="B",D148,D151))</f>
        <v>0</v>
      </c>
      <c r="E160" s="159">
        <f t="shared" si="127"/>
        <v>0</v>
      </c>
      <c r="F160" s="159">
        <f t="shared" si="127"/>
        <v>0</v>
      </c>
      <c r="G160" s="159">
        <f t="shared" si="127"/>
        <v>0</v>
      </c>
      <c r="H160" s="159">
        <f t="shared" si="127"/>
        <v>0</v>
      </c>
      <c r="I160" s="159">
        <f t="shared" si="127"/>
        <v>0</v>
      </c>
      <c r="J160" s="159">
        <f t="shared" si="127"/>
        <v>0</v>
      </c>
      <c r="K160" s="159">
        <f t="shared" si="127"/>
        <v>0</v>
      </c>
      <c r="L160" s="159">
        <f t="shared" si="127"/>
        <v>0</v>
      </c>
      <c r="M160" s="159">
        <f t="shared" si="127"/>
        <v>0</v>
      </c>
      <c r="N160" s="159">
        <f t="shared" si="127"/>
        <v>0</v>
      </c>
      <c r="O160" s="159">
        <f t="shared" si="127"/>
        <v>0</v>
      </c>
      <c r="P160" s="159">
        <f t="shared" si="127"/>
        <v>0</v>
      </c>
      <c r="Q160" s="159">
        <f t="shared" si="127"/>
        <v>0</v>
      </c>
      <c r="R160" s="159">
        <f t="shared" si="127"/>
        <v>0</v>
      </c>
      <c r="S160" s="159">
        <f t="shared" si="127"/>
        <v>0</v>
      </c>
      <c r="T160" s="159">
        <f t="shared" si="127"/>
        <v>0</v>
      </c>
      <c r="U160" s="159">
        <f t="shared" si="127"/>
        <v>0</v>
      </c>
      <c r="V160" s="159">
        <f t="shared" si="127"/>
        <v>0</v>
      </c>
      <c r="W160" s="159">
        <f t="shared" si="127"/>
        <v>0</v>
      </c>
      <c r="X160" s="159">
        <f t="shared" si="127"/>
        <v>0</v>
      </c>
      <c r="Y160" s="159">
        <f t="shared" si="127"/>
        <v>0</v>
      </c>
      <c r="Z160" s="159">
        <f t="shared" si="127"/>
        <v>0</v>
      </c>
      <c r="AA160" s="159">
        <f t="shared" si="127"/>
        <v>0</v>
      </c>
    </row>
    <row r="161" spans="2:27" ht="30" x14ac:dyDescent="0.25">
      <c r="B161" s="283" t="s">
        <v>84</v>
      </c>
      <c r="C161" s="159">
        <f>$C$134*$C$140</f>
        <v>0</v>
      </c>
      <c r="D161" s="159">
        <f t="shared" ref="D161:AA161" si="128">$C$134*$C$140</f>
        <v>0</v>
      </c>
      <c r="E161" s="159">
        <f t="shared" si="128"/>
        <v>0</v>
      </c>
      <c r="F161" s="159">
        <f t="shared" si="128"/>
        <v>0</v>
      </c>
      <c r="G161" s="159">
        <f t="shared" si="128"/>
        <v>0</v>
      </c>
      <c r="H161" s="159">
        <f t="shared" si="128"/>
        <v>0</v>
      </c>
      <c r="I161" s="159">
        <f t="shared" si="128"/>
        <v>0</v>
      </c>
      <c r="J161" s="159">
        <f t="shared" si="128"/>
        <v>0</v>
      </c>
      <c r="K161" s="159">
        <f t="shared" si="128"/>
        <v>0</v>
      </c>
      <c r="L161" s="159">
        <f t="shared" si="128"/>
        <v>0</v>
      </c>
      <c r="M161" s="159">
        <f t="shared" si="128"/>
        <v>0</v>
      </c>
      <c r="N161" s="159">
        <f t="shared" si="128"/>
        <v>0</v>
      </c>
      <c r="O161" s="159">
        <f t="shared" si="128"/>
        <v>0</v>
      </c>
      <c r="P161" s="159">
        <f t="shared" si="128"/>
        <v>0</v>
      </c>
      <c r="Q161" s="159">
        <f t="shared" si="128"/>
        <v>0</v>
      </c>
      <c r="R161" s="159">
        <f t="shared" si="128"/>
        <v>0</v>
      </c>
      <c r="S161" s="159">
        <f t="shared" si="128"/>
        <v>0</v>
      </c>
      <c r="T161" s="159">
        <f t="shared" si="128"/>
        <v>0</v>
      </c>
      <c r="U161" s="159">
        <f t="shared" si="128"/>
        <v>0</v>
      </c>
      <c r="V161" s="159">
        <f t="shared" si="128"/>
        <v>0</v>
      </c>
      <c r="W161" s="159">
        <f t="shared" si="128"/>
        <v>0</v>
      </c>
      <c r="X161" s="159">
        <f t="shared" si="128"/>
        <v>0</v>
      </c>
      <c r="Y161" s="159">
        <f t="shared" si="128"/>
        <v>0</v>
      </c>
      <c r="Z161" s="159">
        <f t="shared" si="128"/>
        <v>0</v>
      </c>
      <c r="AA161" s="159">
        <f t="shared" si="128"/>
        <v>0</v>
      </c>
    </row>
    <row r="162" spans="2:27" ht="30" x14ac:dyDescent="0.25">
      <c r="B162" s="290" t="s">
        <v>258</v>
      </c>
      <c r="C162" s="163">
        <f>SUM(C159:C161)</f>
        <v>0</v>
      </c>
      <c r="D162" s="163">
        <f t="shared" ref="D162:AA162" si="129">SUM(D159:D161)</f>
        <v>0</v>
      </c>
      <c r="E162" s="163">
        <f t="shared" si="129"/>
        <v>0</v>
      </c>
      <c r="F162" s="163">
        <f t="shared" si="129"/>
        <v>0</v>
      </c>
      <c r="G162" s="163">
        <f t="shared" si="129"/>
        <v>0</v>
      </c>
      <c r="H162" s="163">
        <f t="shared" si="129"/>
        <v>0</v>
      </c>
      <c r="I162" s="163">
        <f t="shared" si="129"/>
        <v>0</v>
      </c>
      <c r="J162" s="163">
        <f t="shared" si="129"/>
        <v>0</v>
      </c>
      <c r="K162" s="163">
        <f t="shared" si="129"/>
        <v>0</v>
      </c>
      <c r="L162" s="163">
        <f t="shared" si="129"/>
        <v>0</v>
      </c>
      <c r="M162" s="163">
        <f t="shared" si="129"/>
        <v>0</v>
      </c>
      <c r="N162" s="163">
        <f t="shared" si="129"/>
        <v>0</v>
      </c>
      <c r="O162" s="163">
        <f t="shared" si="129"/>
        <v>0</v>
      </c>
      <c r="P162" s="163">
        <f t="shared" si="129"/>
        <v>0</v>
      </c>
      <c r="Q162" s="163">
        <f t="shared" si="129"/>
        <v>0</v>
      </c>
      <c r="R162" s="163">
        <f t="shared" si="129"/>
        <v>0</v>
      </c>
      <c r="S162" s="163">
        <f t="shared" si="129"/>
        <v>0</v>
      </c>
      <c r="T162" s="163">
        <f t="shared" si="129"/>
        <v>0</v>
      </c>
      <c r="U162" s="163">
        <f t="shared" si="129"/>
        <v>0</v>
      </c>
      <c r="V162" s="163">
        <f t="shared" si="129"/>
        <v>0</v>
      </c>
      <c r="W162" s="163">
        <f t="shared" si="129"/>
        <v>0</v>
      </c>
      <c r="X162" s="163">
        <f t="shared" si="129"/>
        <v>0</v>
      </c>
      <c r="Y162" s="163">
        <f t="shared" si="129"/>
        <v>0</v>
      </c>
      <c r="Z162" s="163">
        <f t="shared" si="129"/>
        <v>0</v>
      </c>
      <c r="AA162" s="163">
        <f t="shared" si="129"/>
        <v>0</v>
      </c>
    </row>
    <row r="163" spans="2:27" x14ac:dyDescent="0.25">
      <c r="B163" s="155"/>
      <c r="C163" s="154"/>
      <c r="D163" s="154"/>
      <c r="E163" s="154"/>
      <c r="F163" s="154"/>
      <c r="G163" s="154"/>
      <c r="H163" s="154"/>
      <c r="I163" s="154"/>
      <c r="J163" s="154"/>
      <c r="K163" s="154"/>
    </row>
    <row r="164" spans="2:27" ht="30" customHeight="1" x14ac:dyDescent="0.25">
      <c r="B164" s="496" t="s">
        <v>338</v>
      </c>
      <c r="C164" s="496"/>
      <c r="D164" s="496"/>
    </row>
    <row r="165" spans="2:27" ht="30" x14ac:dyDescent="0.25">
      <c r="B165" s="280" t="s">
        <v>78</v>
      </c>
      <c r="C165" s="196">
        <f>Założenia_Predpoklady!C27</f>
        <v>0</v>
      </c>
      <c r="D165" s="276" t="s">
        <v>19</v>
      </c>
      <c r="J165" s="3"/>
      <c r="K165" s="3"/>
    </row>
    <row r="166" spans="2:27" ht="30" x14ac:dyDescent="0.25">
      <c r="B166" s="280" t="s">
        <v>79</v>
      </c>
      <c r="C166" s="196">
        <f>Założenia_Predpoklady!C28</f>
        <v>0</v>
      </c>
      <c r="D166" s="276" t="s">
        <v>19</v>
      </c>
      <c r="J166" s="161"/>
      <c r="K166" s="157"/>
    </row>
    <row r="167" spans="2:27" ht="30" x14ac:dyDescent="0.25">
      <c r="B167" s="202" t="s">
        <v>80</v>
      </c>
      <c r="C167" s="156">
        <f>C165*C166</f>
        <v>0</v>
      </c>
      <c r="D167" s="277" t="s">
        <v>20</v>
      </c>
      <c r="E167" s="153"/>
      <c r="F167" s="153"/>
      <c r="G167" s="153"/>
      <c r="H167" s="153"/>
      <c r="I167" s="153"/>
      <c r="J167" s="161"/>
      <c r="K167" s="157"/>
    </row>
    <row r="168" spans="2:27" ht="30" x14ac:dyDescent="0.25">
      <c r="B168" s="202" t="s">
        <v>81</v>
      </c>
      <c r="C168" s="197">
        <f>Założenia_Predpoklady!C30</f>
        <v>0</v>
      </c>
      <c r="D168" s="487" t="str">
        <f>Założenia_Predpoklady!D30</f>
        <v/>
      </c>
      <c r="E168" s="488"/>
      <c r="F168" s="488"/>
      <c r="G168" s="488"/>
      <c r="H168" s="488"/>
      <c r="I168" s="489"/>
      <c r="J168" s="161"/>
      <c r="K168" s="157"/>
    </row>
    <row r="169" spans="2:27" x14ac:dyDescent="0.25">
      <c r="B169" s="95"/>
      <c r="C169" s="154"/>
      <c r="D169" s="154"/>
      <c r="E169" s="154"/>
      <c r="F169" s="154"/>
      <c r="G169" s="154"/>
      <c r="H169" s="154"/>
      <c r="I169" s="154"/>
      <c r="J169" s="154"/>
      <c r="K169" s="154"/>
    </row>
    <row r="170" spans="2:27" ht="30" customHeight="1" x14ac:dyDescent="0.25">
      <c r="B170" s="524" t="s">
        <v>342</v>
      </c>
      <c r="C170" s="525"/>
      <c r="D170" s="526"/>
      <c r="E170" s="154"/>
      <c r="F170" s="154"/>
      <c r="G170" s="154"/>
      <c r="H170" s="154"/>
      <c r="I170" s="154"/>
      <c r="J170" s="154"/>
      <c r="K170" s="154"/>
    </row>
    <row r="171" spans="2:27" ht="30" x14ac:dyDescent="0.25">
      <c r="B171" s="283" t="s">
        <v>83</v>
      </c>
      <c r="C171" s="405"/>
      <c r="D171" s="284" t="s">
        <v>24</v>
      </c>
      <c r="E171" s="154"/>
      <c r="F171" s="154"/>
      <c r="G171" s="154"/>
      <c r="H171" s="154"/>
      <c r="I171" s="154"/>
      <c r="J171" s="154"/>
      <c r="K171" s="154"/>
    </row>
    <row r="172" spans="2:27" ht="30" x14ac:dyDescent="0.25">
      <c r="B172" s="283" t="s">
        <v>82</v>
      </c>
      <c r="C172" s="405"/>
      <c r="D172" s="284" t="s">
        <v>24</v>
      </c>
      <c r="E172" s="154"/>
      <c r="F172" s="154"/>
      <c r="G172" s="154"/>
      <c r="H172" s="154"/>
      <c r="I172" s="154"/>
      <c r="J172" s="154"/>
      <c r="K172" s="154"/>
    </row>
    <row r="173" spans="2:27" ht="30" x14ac:dyDescent="0.25">
      <c r="B173" s="283" t="s">
        <v>84</v>
      </c>
      <c r="C173" s="405"/>
      <c r="D173" s="284" t="s">
        <v>24</v>
      </c>
      <c r="E173" s="154"/>
      <c r="F173" s="154"/>
      <c r="G173" s="154"/>
      <c r="H173" s="154"/>
      <c r="I173" s="154"/>
      <c r="J173" s="154"/>
      <c r="K173" s="154"/>
    </row>
    <row r="174" spans="2:27" x14ac:dyDescent="0.25">
      <c r="B174" s="155"/>
      <c r="C174" s="154"/>
      <c r="D174" s="154"/>
      <c r="E174" s="154"/>
      <c r="F174" s="154"/>
      <c r="G174" s="154"/>
      <c r="H174" s="154"/>
      <c r="I174" s="154"/>
      <c r="J174" s="154"/>
      <c r="K174" s="154"/>
    </row>
    <row r="175" spans="2:27" ht="30" x14ac:dyDescent="0.25">
      <c r="B175" s="211" t="s">
        <v>339</v>
      </c>
      <c r="C175" s="160">
        <f>C142</f>
        <v>2016</v>
      </c>
      <c r="D175" s="160">
        <f t="shared" ref="D175:AA175" si="130">D142</f>
        <v>2017</v>
      </c>
      <c r="E175" s="160">
        <f t="shared" si="130"/>
        <v>2018</v>
      </c>
      <c r="F175" s="160">
        <f t="shared" si="130"/>
        <v>2019</v>
      </c>
      <c r="G175" s="160">
        <f t="shared" si="130"/>
        <v>2020</v>
      </c>
      <c r="H175" s="160">
        <f t="shared" si="130"/>
        <v>2021</v>
      </c>
      <c r="I175" s="160">
        <f t="shared" si="130"/>
        <v>2022</v>
      </c>
      <c r="J175" s="160">
        <f t="shared" si="130"/>
        <v>2023</v>
      </c>
      <c r="K175" s="160">
        <f t="shared" si="130"/>
        <v>2024</v>
      </c>
      <c r="L175" s="160">
        <f t="shared" si="130"/>
        <v>2025</v>
      </c>
      <c r="M175" s="160">
        <f t="shared" si="130"/>
        <v>2026</v>
      </c>
      <c r="N175" s="160">
        <f t="shared" si="130"/>
        <v>2027</v>
      </c>
      <c r="O175" s="160">
        <f t="shared" si="130"/>
        <v>2028</v>
      </c>
      <c r="P175" s="160">
        <f t="shared" si="130"/>
        <v>2029</v>
      </c>
      <c r="Q175" s="160">
        <f t="shared" si="130"/>
        <v>2030</v>
      </c>
      <c r="R175" s="160">
        <f t="shared" si="130"/>
        <v>2031</v>
      </c>
      <c r="S175" s="160">
        <f t="shared" si="130"/>
        <v>2032</v>
      </c>
      <c r="T175" s="160">
        <f t="shared" si="130"/>
        <v>2033</v>
      </c>
      <c r="U175" s="160">
        <f t="shared" si="130"/>
        <v>2034</v>
      </c>
      <c r="V175" s="160">
        <f t="shared" si="130"/>
        <v>2035</v>
      </c>
      <c r="W175" s="160">
        <f t="shared" si="130"/>
        <v>2036</v>
      </c>
      <c r="X175" s="160">
        <f t="shared" si="130"/>
        <v>2037</v>
      </c>
      <c r="Y175" s="160">
        <f t="shared" si="130"/>
        <v>2038</v>
      </c>
      <c r="Z175" s="160">
        <f t="shared" si="130"/>
        <v>2039</v>
      </c>
      <c r="AA175" s="160">
        <f t="shared" si="130"/>
        <v>2040</v>
      </c>
    </row>
    <row r="176" spans="2:27" ht="30" x14ac:dyDescent="0.25">
      <c r="B176" s="283" t="s">
        <v>83</v>
      </c>
      <c r="C176" s="159">
        <f>IF(C175&gt;Założenia_Predpoklady!$C$4,$C$167*$C$171*IF($C$168="A",C144,IF($C$168="B",C147,C150)),0)</f>
        <v>0</v>
      </c>
      <c r="D176" s="159">
        <f>IF(D175&gt;Założenia_Predpoklady!$C$4,$C$167*$C$171*IF($C$168="A",D144,IF($C$168="B",D147,D150)),0)</f>
        <v>0</v>
      </c>
      <c r="E176" s="159">
        <f>IF(E175&gt;Założenia_Predpoklady!$C$4,$C$167*$C$171*IF($C$168="A",E144,IF($C$168="B",E147,E150)),0)</f>
        <v>0</v>
      </c>
      <c r="F176" s="159">
        <f>IF(F175&gt;Założenia_Predpoklady!$C$4,$C$167*$C$171*IF($C$168="A",F144,IF($C$168="B",F147,F150)),0)</f>
        <v>0</v>
      </c>
      <c r="G176" s="159">
        <f>IF(G175&gt;Założenia_Predpoklady!$C$4,$C$167*$C$171*IF($C$168="A",G144,IF($C$168="B",G147,G150)),0)</f>
        <v>0</v>
      </c>
      <c r="H176" s="159">
        <f>IF(H175&gt;Założenia_Predpoklady!$C$4,$C$167*$C$171*IF($C$168="A",H144,IF($C$168="B",H147,H150)),0)</f>
        <v>0</v>
      </c>
      <c r="I176" s="159">
        <f>IF(I175&gt;Założenia_Predpoklady!$C$4,$C$167*$C$171*IF($C$168="A",I144,IF($C$168="B",I147,I150)),0)</f>
        <v>0</v>
      </c>
      <c r="J176" s="159">
        <f>IF(J175&gt;Założenia_Predpoklady!$C$4,$C$167*$C$171*IF($C$168="A",J144,IF($C$168="B",J147,J150)),0)</f>
        <v>0</v>
      </c>
      <c r="K176" s="159">
        <f>IF(K175&gt;Założenia_Predpoklady!$C$4,$C$167*$C$171*IF($C$168="A",K144,IF($C$168="B",K147,K150)),0)</f>
        <v>0</v>
      </c>
      <c r="L176" s="159">
        <f>IF(L175&gt;Założenia_Predpoklady!$C$4,$C$167*$C$171*IF($C$168="A",L144,IF($C$168="B",L147,L150)),0)</f>
        <v>0</v>
      </c>
      <c r="M176" s="159">
        <f>IF(M175&gt;Założenia_Predpoklady!$C$4,$C$167*$C$171*IF($C$168="A",M144,IF($C$168="B",M147,M150)),0)</f>
        <v>0</v>
      </c>
      <c r="N176" s="159">
        <f>IF(N175&gt;Założenia_Predpoklady!$C$4,$C$167*$C$171*IF($C$168="A",N144,IF($C$168="B",N147,N150)),0)</f>
        <v>0</v>
      </c>
      <c r="O176" s="159">
        <f>IF(O175&gt;Założenia_Predpoklady!$C$4,$C$167*$C$171*IF($C$168="A",O144,IF($C$168="B",O147,O150)),0)</f>
        <v>0</v>
      </c>
      <c r="P176" s="159">
        <f>IF(P175&gt;Założenia_Predpoklady!$C$4,$C$167*$C$171*IF($C$168="A",P144,IF($C$168="B",P147,P150)),0)</f>
        <v>0</v>
      </c>
      <c r="Q176" s="159">
        <f>IF(Q175&gt;Założenia_Predpoklady!$C$4,$C$167*$C$171*IF($C$168="A",Q144,IF($C$168="B",Q147,Q150)),0)</f>
        <v>0</v>
      </c>
      <c r="R176" s="159">
        <f>IF(R175&gt;Założenia_Predpoklady!$C$4,$C$167*$C$171*IF($C$168="A",R144,IF($C$168="B",R147,R150)),0)</f>
        <v>0</v>
      </c>
      <c r="S176" s="159">
        <f>IF(S175&gt;Założenia_Predpoklady!$C$4,$C$167*$C$171*IF($C$168="A",S144,IF($C$168="B",S147,S150)),0)</f>
        <v>0</v>
      </c>
      <c r="T176" s="159">
        <f>IF(T175&gt;Założenia_Predpoklady!$C$4,$C$167*$C$171*IF($C$168="A",T144,IF($C$168="B",T147,T150)),0)</f>
        <v>0</v>
      </c>
      <c r="U176" s="159">
        <f>IF(U175&gt;Założenia_Predpoklady!$C$4,$C$167*$C$171*IF($C$168="A",U144,IF($C$168="B",U147,U150)),0)</f>
        <v>0</v>
      </c>
      <c r="V176" s="159">
        <f>IF(V175&gt;Założenia_Predpoklady!$C$4,$C$167*$C$171*IF($C$168="A",V144,IF($C$168="B",V147,V150)),0)</f>
        <v>0</v>
      </c>
      <c r="W176" s="159">
        <f>IF(W175&gt;Założenia_Predpoklady!$C$4,$C$167*$C$171*IF($C$168="A",W144,IF($C$168="B",W147,W150)),0)</f>
        <v>0</v>
      </c>
      <c r="X176" s="159">
        <f>IF(X175&gt;Założenia_Predpoklady!$C$4,$C$167*$C$171*IF($C$168="A",X144,IF($C$168="B",X147,X150)),0)</f>
        <v>0</v>
      </c>
      <c r="Y176" s="159">
        <f>IF(Y175&gt;Założenia_Predpoklady!$C$4,$C$167*$C$171*IF($C$168="A",Y144,IF($C$168="B",Y147,Y150)),0)</f>
        <v>0</v>
      </c>
      <c r="Z176" s="159">
        <f>IF(Z175&gt;Założenia_Predpoklady!$C$4,$C$167*$C$171*IF($C$168="A",Z144,IF($C$168="B",Z147,Z150)),0)</f>
        <v>0</v>
      </c>
      <c r="AA176" s="159">
        <f>IF(AA175&gt;Założenia_Predpoklady!$C$4,$C$167*$C$171*IF($C$168="A",AA144,IF($C$168="B",AA147,AA150)),0)</f>
        <v>0</v>
      </c>
    </row>
    <row r="177" spans="2:27" ht="30" x14ac:dyDescent="0.25">
      <c r="B177" s="283" t="s">
        <v>82</v>
      </c>
      <c r="C177" s="159">
        <f>IF(C175&gt;Założenia_Predpoklady!$C$4,$C$167*$C$172*IF($C$168="A",C145,IF($C$168="B",C148,C151)),0)</f>
        <v>0</v>
      </c>
      <c r="D177" s="159">
        <f>IF(D175&gt;Założenia_Predpoklady!$C$4,$C$167*$C$172*IF($C$168="A",D145,IF($C$168="B",D148,D151)),0)</f>
        <v>0</v>
      </c>
      <c r="E177" s="159">
        <f>IF(E175&gt;Założenia_Predpoklady!$C$4,$C$167*$C$172*IF($C$168="A",E145,IF($C$168="B",E148,E151)),0)</f>
        <v>0</v>
      </c>
      <c r="F177" s="159">
        <f>IF(F175&gt;Założenia_Predpoklady!$C$4,$C$167*$C$172*IF($C$168="A",F145,IF($C$168="B",F148,F151)),0)</f>
        <v>0</v>
      </c>
      <c r="G177" s="159">
        <f>IF(G175&gt;Założenia_Predpoklady!$C$4,$C$167*$C$172*IF($C$168="A",G145,IF($C$168="B",G148,G151)),0)</f>
        <v>0</v>
      </c>
      <c r="H177" s="159">
        <f>IF(H175&gt;Założenia_Predpoklady!$C$4,$C$167*$C$172*IF($C$168="A",H145,IF($C$168="B",H148,H151)),0)</f>
        <v>0</v>
      </c>
      <c r="I177" s="159">
        <f>IF(I175&gt;Założenia_Predpoklady!$C$4,$C$167*$C$172*IF($C$168="A",I145,IF($C$168="B",I148,I151)),0)</f>
        <v>0</v>
      </c>
      <c r="J177" s="159">
        <f>IF(J175&gt;Założenia_Predpoklady!$C$4,$C$167*$C$172*IF($C$168="A",J145,IF($C$168="B",J148,J151)),0)</f>
        <v>0</v>
      </c>
      <c r="K177" s="159">
        <f>IF(K175&gt;Założenia_Predpoklady!$C$4,$C$167*$C$172*IF($C$168="A",K145,IF($C$168="B",K148,K151)),0)</f>
        <v>0</v>
      </c>
      <c r="L177" s="159">
        <f>IF(L175&gt;Założenia_Predpoklady!$C$4,$C$167*$C$172*IF($C$168="A",L145,IF($C$168="B",L148,L151)),0)</f>
        <v>0</v>
      </c>
      <c r="M177" s="159">
        <f>IF(M175&gt;Założenia_Predpoklady!$C$4,$C$167*$C$172*IF($C$168="A",M145,IF($C$168="B",M148,M151)),0)</f>
        <v>0</v>
      </c>
      <c r="N177" s="159">
        <f>IF(N175&gt;Założenia_Predpoklady!$C$4,$C$167*$C$172*IF($C$168="A",N145,IF($C$168="B",N148,N151)),0)</f>
        <v>0</v>
      </c>
      <c r="O177" s="159">
        <f>IF(O175&gt;Założenia_Predpoklady!$C$4,$C$167*$C$172*IF($C$168="A",O145,IF($C$168="B",O148,O151)),0)</f>
        <v>0</v>
      </c>
      <c r="P177" s="159">
        <f>IF(P175&gt;Założenia_Predpoklady!$C$4,$C$167*$C$172*IF($C$168="A",P145,IF($C$168="B",P148,P151)),0)</f>
        <v>0</v>
      </c>
      <c r="Q177" s="159">
        <f>IF(Q175&gt;Założenia_Predpoklady!$C$4,$C$167*$C$172*IF($C$168="A",Q145,IF($C$168="B",Q148,Q151)),0)</f>
        <v>0</v>
      </c>
      <c r="R177" s="159">
        <f>IF(R175&gt;Założenia_Predpoklady!$C$4,$C$167*$C$172*IF($C$168="A",R145,IF($C$168="B",R148,R151)),0)</f>
        <v>0</v>
      </c>
      <c r="S177" s="159">
        <f>IF(S175&gt;Założenia_Predpoklady!$C$4,$C$167*$C$172*IF($C$168="A",S145,IF($C$168="B",S148,S151)),0)</f>
        <v>0</v>
      </c>
      <c r="T177" s="159">
        <f>IF(T175&gt;Założenia_Predpoklady!$C$4,$C$167*$C$172*IF($C$168="A",T145,IF($C$168="B",T148,T151)),0)</f>
        <v>0</v>
      </c>
      <c r="U177" s="159">
        <f>IF(U175&gt;Założenia_Predpoklady!$C$4,$C$167*$C$172*IF($C$168="A",U145,IF($C$168="B",U148,U151)),0)</f>
        <v>0</v>
      </c>
      <c r="V177" s="159">
        <f>IF(V175&gt;Założenia_Predpoklady!$C$4,$C$167*$C$172*IF($C$168="A",V145,IF($C$168="B",V148,V151)),0)</f>
        <v>0</v>
      </c>
      <c r="W177" s="159">
        <f>IF(W175&gt;Założenia_Predpoklady!$C$4,$C$167*$C$172*IF($C$168="A",W145,IF($C$168="B",W148,W151)),0)</f>
        <v>0</v>
      </c>
      <c r="X177" s="159">
        <f>IF(X175&gt;Założenia_Predpoklady!$C$4,$C$167*$C$172*IF($C$168="A",X145,IF($C$168="B",X148,X151)),0)</f>
        <v>0</v>
      </c>
      <c r="Y177" s="159">
        <f>IF(Y175&gt;Założenia_Predpoklady!$C$4,$C$167*$C$172*IF($C$168="A",Y145,IF($C$168="B",Y148,Y151)),0)</f>
        <v>0</v>
      </c>
      <c r="Z177" s="159">
        <f>IF(Z175&gt;Założenia_Predpoklady!$C$4,$C$167*$C$172*IF($C$168="A",Z145,IF($C$168="B",Z148,Z151)),0)</f>
        <v>0</v>
      </c>
      <c r="AA177" s="159">
        <f>IF(AA175&gt;Założenia_Predpoklady!$C$4,$C$167*$C$172*IF($C$168="A",AA145,IF($C$168="B",AA148,AA151)),0)</f>
        <v>0</v>
      </c>
    </row>
    <row r="178" spans="2:27" ht="30" x14ac:dyDescent="0.25">
      <c r="B178" s="283" t="s">
        <v>84</v>
      </c>
      <c r="C178" s="159">
        <f>IF(C175&gt;Założenia_Predpoklady!$C$4,$C$167*$C$173,0)</f>
        <v>0</v>
      </c>
      <c r="D178" s="159">
        <f>IF(D175&gt;Założenia_Predpoklady!$C$4,$C$167*$C$173,0)</f>
        <v>0</v>
      </c>
      <c r="E178" s="159">
        <f>IF(E175&gt;Założenia_Predpoklady!$C$4,$C$167*$C$173,0)</f>
        <v>0</v>
      </c>
      <c r="F178" s="159">
        <f>IF(F175&gt;Założenia_Predpoklady!$C$4,$C$167*$C$173,0)</f>
        <v>0</v>
      </c>
      <c r="G178" s="159">
        <f>IF(G175&gt;Założenia_Predpoklady!$C$4,$C$167*$C$173,0)</f>
        <v>0</v>
      </c>
      <c r="H178" s="159">
        <f>IF(H175&gt;Założenia_Predpoklady!$C$4,$C$167*$C$173,0)</f>
        <v>0</v>
      </c>
      <c r="I178" s="159">
        <f>IF(I175&gt;Założenia_Predpoklady!$C$4,$C$167*$C$173,0)</f>
        <v>0</v>
      </c>
      <c r="J178" s="159">
        <f>IF(J175&gt;Założenia_Predpoklady!$C$4,$C$167*$C$173,0)</f>
        <v>0</v>
      </c>
      <c r="K178" s="159">
        <f>IF(K175&gt;Założenia_Predpoklady!$C$4,$C$167*$C$173,0)</f>
        <v>0</v>
      </c>
      <c r="L178" s="159">
        <f>IF(L175&gt;Założenia_Predpoklady!$C$4,$C$167*$C$173,0)</f>
        <v>0</v>
      </c>
      <c r="M178" s="159">
        <f>IF(M175&gt;Założenia_Predpoklady!$C$4,$C$167*$C$173,0)</f>
        <v>0</v>
      </c>
      <c r="N178" s="159">
        <f>IF(N175&gt;Założenia_Predpoklady!$C$4,$C$167*$C$173,0)</f>
        <v>0</v>
      </c>
      <c r="O178" s="159">
        <f>IF(O175&gt;Założenia_Predpoklady!$C$4,$C$167*$C$173,0)</f>
        <v>0</v>
      </c>
      <c r="P178" s="159">
        <f>IF(P175&gt;Założenia_Predpoklady!$C$4,$C$167*$C$173,0)</f>
        <v>0</v>
      </c>
      <c r="Q178" s="159">
        <f>IF(Q175&gt;Założenia_Predpoklady!$C$4,$C$167*$C$173,0)</f>
        <v>0</v>
      </c>
      <c r="R178" s="159">
        <f>IF(R175&gt;Założenia_Predpoklady!$C$4,$C$167*$C$173,0)</f>
        <v>0</v>
      </c>
      <c r="S178" s="159">
        <f>IF(S175&gt;Założenia_Predpoklady!$C$4,$C$167*$C$173,0)</f>
        <v>0</v>
      </c>
      <c r="T178" s="159">
        <f>IF(T175&gt;Założenia_Predpoklady!$C$4,$C$167*$C$173,0)</f>
        <v>0</v>
      </c>
      <c r="U178" s="159">
        <f>IF(U175&gt;Założenia_Predpoklady!$C$4,$C$167*$C$173,0)</f>
        <v>0</v>
      </c>
      <c r="V178" s="159">
        <f>IF(V175&gt;Założenia_Predpoklady!$C$4,$C$167*$C$173,0)</f>
        <v>0</v>
      </c>
      <c r="W178" s="159">
        <f>IF(W175&gt;Założenia_Predpoklady!$C$4,$C$167*$C$173,0)</f>
        <v>0</v>
      </c>
      <c r="X178" s="159">
        <f>IF(X175&gt;Założenia_Predpoklady!$C$4,$C$167*$C$173,0)</f>
        <v>0</v>
      </c>
      <c r="Y178" s="159">
        <f>IF(Y175&gt;Założenia_Predpoklady!$C$4,$C$167*$C$173,0)</f>
        <v>0</v>
      </c>
      <c r="Z178" s="159">
        <f>IF(Z175&gt;Założenia_Predpoklady!$C$4,$C$167*$C$173,0)</f>
        <v>0</v>
      </c>
      <c r="AA178" s="159">
        <f>IF(AA175&gt;Założenia_Predpoklady!$C$4,$C$167*$C$173,0)</f>
        <v>0</v>
      </c>
    </row>
    <row r="179" spans="2:27" ht="30" x14ac:dyDescent="0.25">
      <c r="B179" s="290" t="s">
        <v>259</v>
      </c>
      <c r="C179" s="163">
        <f>SUM(C176:C178)</f>
        <v>0</v>
      </c>
      <c r="D179" s="163">
        <f t="shared" ref="D179" si="131">SUM(D176:D178)</f>
        <v>0</v>
      </c>
      <c r="E179" s="163">
        <f t="shared" ref="E179" si="132">SUM(E176:E178)</f>
        <v>0</v>
      </c>
      <c r="F179" s="163">
        <f t="shared" ref="F179" si="133">SUM(F176:F178)</f>
        <v>0</v>
      </c>
      <c r="G179" s="163">
        <f t="shared" ref="G179" si="134">SUM(G176:G178)</f>
        <v>0</v>
      </c>
      <c r="H179" s="163">
        <f t="shared" ref="H179" si="135">SUM(H176:H178)</f>
        <v>0</v>
      </c>
      <c r="I179" s="163">
        <f t="shared" ref="I179" si="136">SUM(I176:I178)</f>
        <v>0</v>
      </c>
      <c r="J179" s="163">
        <f t="shared" ref="J179" si="137">SUM(J176:J178)</f>
        <v>0</v>
      </c>
      <c r="K179" s="163">
        <f t="shared" ref="K179" si="138">SUM(K176:K178)</f>
        <v>0</v>
      </c>
      <c r="L179" s="163">
        <f t="shared" ref="L179" si="139">SUM(L176:L178)</f>
        <v>0</v>
      </c>
      <c r="M179" s="163">
        <f t="shared" ref="M179" si="140">SUM(M176:M178)</f>
        <v>0</v>
      </c>
      <c r="N179" s="163">
        <f t="shared" ref="N179" si="141">SUM(N176:N178)</f>
        <v>0</v>
      </c>
      <c r="O179" s="163">
        <f t="shared" ref="O179" si="142">SUM(O176:O178)</f>
        <v>0</v>
      </c>
      <c r="P179" s="163">
        <f t="shared" ref="P179" si="143">SUM(P176:P178)</f>
        <v>0</v>
      </c>
      <c r="Q179" s="163">
        <f t="shared" ref="Q179" si="144">SUM(Q176:Q178)</f>
        <v>0</v>
      </c>
      <c r="R179" s="163">
        <f t="shared" ref="R179" si="145">SUM(R176:R178)</f>
        <v>0</v>
      </c>
      <c r="S179" s="163">
        <f t="shared" ref="S179" si="146">SUM(S176:S178)</f>
        <v>0</v>
      </c>
      <c r="T179" s="163">
        <f t="shared" ref="T179" si="147">SUM(T176:T178)</f>
        <v>0</v>
      </c>
      <c r="U179" s="163">
        <f t="shared" ref="U179" si="148">SUM(U176:U178)</f>
        <v>0</v>
      </c>
      <c r="V179" s="163">
        <f t="shared" ref="V179" si="149">SUM(V176:V178)</f>
        <v>0</v>
      </c>
      <c r="W179" s="163">
        <f t="shared" ref="W179" si="150">SUM(W176:W178)</f>
        <v>0</v>
      </c>
      <c r="X179" s="163">
        <f t="shared" ref="X179" si="151">SUM(X176:X178)</f>
        <v>0</v>
      </c>
      <c r="Y179" s="163">
        <f t="shared" ref="Y179" si="152">SUM(Y176:Y178)</f>
        <v>0</v>
      </c>
      <c r="Z179" s="163">
        <f t="shared" ref="Z179" si="153">SUM(Z176:Z178)</f>
        <v>0</v>
      </c>
      <c r="AA179" s="163">
        <f t="shared" ref="AA179" si="154">SUM(AA176:AA178)</f>
        <v>0</v>
      </c>
    </row>
    <row r="180" spans="2:27" x14ac:dyDescent="0.25">
      <c r="B180" s="16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2:27" ht="30" customHeight="1" x14ac:dyDescent="0.25">
      <c r="B181" s="523" t="s">
        <v>340</v>
      </c>
      <c r="C181" s="523"/>
      <c r="D181" s="523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</row>
    <row r="182" spans="2:27" ht="30" x14ac:dyDescent="0.25">
      <c r="B182" s="232" t="s">
        <v>260</v>
      </c>
      <c r="C182" s="25">
        <f>Założenia_Predpoklady!C9</f>
        <v>2016</v>
      </c>
      <c r="D182" s="25">
        <f>Założenia_Predpoklady!D9</f>
        <v>2017</v>
      </c>
      <c r="E182" s="25">
        <f>Założenia_Predpoklady!E9</f>
        <v>2018</v>
      </c>
      <c r="F182" s="25">
        <f>Założenia_Predpoklady!F9</f>
        <v>2019</v>
      </c>
      <c r="G182" s="25">
        <f>Założenia_Predpoklady!G9</f>
        <v>2020</v>
      </c>
      <c r="H182" s="25">
        <f>Założenia_Predpoklady!H9</f>
        <v>2021</v>
      </c>
      <c r="I182" s="25">
        <f>Założenia_Predpoklady!I9</f>
        <v>2022</v>
      </c>
      <c r="J182" s="25">
        <f>Założenia_Predpoklady!J9</f>
        <v>2023</v>
      </c>
      <c r="K182" s="25">
        <f>Założenia_Predpoklady!K9</f>
        <v>2024</v>
      </c>
      <c r="L182" s="25">
        <f>Założenia_Predpoklady!L9</f>
        <v>2025</v>
      </c>
      <c r="M182" s="25">
        <f>Założenia_Predpoklady!M9</f>
        <v>2026</v>
      </c>
      <c r="N182" s="25">
        <f>Założenia_Predpoklady!N9</f>
        <v>2027</v>
      </c>
      <c r="O182" s="25">
        <f>Założenia_Predpoklady!O9</f>
        <v>2028</v>
      </c>
      <c r="P182" s="25">
        <f>Założenia_Predpoklady!P9</f>
        <v>2029</v>
      </c>
      <c r="Q182" s="25">
        <f>Założenia_Predpoklady!Q9</f>
        <v>2030</v>
      </c>
      <c r="R182" s="25">
        <f>Założenia_Predpoklady!R9</f>
        <v>2031</v>
      </c>
      <c r="S182" s="25">
        <f>Założenia_Predpoklady!S9</f>
        <v>2032</v>
      </c>
      <c r="T182" s="25">
        <f>Założenia_Predpoklady!T9</f>
        <v>2033</v>
      </c>
      <c r="U182" s="25">
        <f>Założenia_Predpoklady!U9</f>
        <v>2034</v>
      </c>
      <c r="V182" s="25">
        <f>Założenia_Predpoklady!V9</f>
        <v>2035</v>
      </c>
      <c r="W182" s="25">
        <f>Założenia_Predpoklady!W9</f>
        <v>2036</v>
      </c>
      <c r="X182" s="25">
        <f>Założenia_Predpoklady!X9</f>
        <v>2037</v>
      </c>
      <c r="Y182" s="25">
        <f>Założenia_Predpoklady!Y9</f>
        <v>2038</v>
      </c>
      <c r="Z182" s="25">
        <f>Założenia_Predpoklady!Z9</f>
        <v>2039</v>
      </c>
      <c r="AA182" s="25">
        <f>Założenia_Predpoklady!AA9</f>
        <v>2040</v>
      </c>
    </row>
    <row r="183" spans="2:27" ht="36" x14ac:dyDescent="0.35">
      <c r="B183" s="313" t="s">
        <v>341</v>
      </c>
      <c r="C183" s="314">
        <f>C179-C162</f>
        <v>0</v>
      </c>
      <c r="D183" s="314">
        <f t="shared" ref="D183:AA183" si="155">D179-D162</f>
        <v>0</v>
      </c>
      <c r="E183" s="314">
        <f t="shared" si="155"/>
        <v>0</v>
      </c>
      <c r="F183" s="314">
        <f t="shared" si="155"/>
        <v>0</v>
      </c>
      <c r="G183" s="314">
        <f t="shared" si="155"/>
        <v>0</v>
      </c>
      <c r="H183" s="314">
        <f t="shared" si="155"/>
        <v>0</v>
      </c>
      <c r="I183" s="314">
        <f t="shared" si="155"/>
        <v>0</v>
      </c>
      <c r="J183" s="314">
        <f t="shared" si="155"/>
        <v>0</v>
      </c>
      <c r="K183" s="314">
        <f t="shared" si="155"/>
        <v>0</v>
      </c>
      <c r="L183" s="314">
        <f t="shared" si="155"/>
        <v>0</v>
      </c>
      <c r="M183" s="314">
        <f t="shared" si="155"/>
        <v>0</v>
      </c>
      <c r="N183" s="314">
        <f t="shared" si="155"/>
        <v>0</v>
      </c>
      <c r="O183" s="314">
        <f t="shared" si="155"/>
        <v>0</v>
      </c>
      <c r="P183" s="314">
        <f t="shared" si="155"/>
        <v>0</v>
      </c>
      <c r="Q183" s="314">
        <f t="shared" si="155"/>
        <v>0</v>
      </c>
      <c r="R183" s="314">
        <f t="shared" si="155"/>
        <v>0</v>
      </c>
      <c r="S183" s="314">
        <f t="shared" si="155"/>
        <v>0</v>
      </c>
      <c r="T183" s="314">
        <f t="shared" si="155"/>
        <v>0</v>
      </c>
      <c r="U183" s="314">
        <f t="shared" si="155"/>
        <v>0</v>
      </c>
      <c r="V183" s="314">
        <f t="shared" si="155"/>
        <v>0</v>
      </c>
      <c r="W183" s="314">
        <f t="shared" si="155"/>
        <v>0</v>
      </c>
      <c r="X183" s="314">
        <f t="shared" si="155"/>
        <v>0</v>
      </c>
      <c r="Y183" s="314">
        <f t="shared" si="155"/>
        <v>0</v>
      </c>
      <c r="Z183" s="314">
        <f t="shared" si="155"/>
        <v>0</v>
      </c>
      <c r="AA183" s="314">
        <f t="shared" si="155"/>
        <v>0</v>
      </c>
    </row>
    <row r="184" spans="2:27" ht="3" customHeight="1" x14ac:dyDescent="0.25">
      <c r="B184" s="316"/>
      <c r="C184" s="317"/>
      <c r="D184" s="317"/>
      <c r="E184" s="317"/>
      <c r="F184" s="317"/>
      <c r="G184" s="317"/>
      <c r="H184" s="317"/>
      <c r="I184" s="317"/>
      <c r="J184" s="317"/>
      <c r="K184" s="317"/>
      <c r="L184" s="317"/>
      <c r="M184" s="317"/>
      <c r="N184" s="317"/>
      <c r="O184" s="317"/>
      <c r="P184" s="317"/>
      <c r="Q184" s="317"/>
      <c r="R184" s="317"/>
      <c r="S184" s="317"/>
      <c r="T184" s="317"/>
      <c r="U184" s="317"/>
      <c r="V184" s="317"/>
      <c r="W184" s="317"/>
      <c r="X184" s="317"/>
      <c r="Y184" s="317"/>
      <c r="Z184" s="317"/>
      <c r="AA184" s="317"/>
    </row>
    <row r="185" spans="2:27" x14ac:dyDescent="0.25">
      <c r="B185" s="44"/>
      <c r="C185" s="315"/>
      <c r="D185" s="315"/>
      <c r="E185" s="315"/>
      <c r="F185" s="315"/>
      <c r="G185" s="315"/>
      <c r="H185" s="315"/>
      <c r="I185" s="315"/>
      <c r="J185" s="315"/>
      <c r="K185" s="315"/>
      <c r="L185" s="315"/>
      <c r="M185" s="315"/>
      <c r="N185" s="315"/>
      <c r="O185" s="315"/>
      <c r="P185" s="315"/>
      <c r="Q185" s="315"/>
      <c r="R185" s="315"/>
      <c r="S185" s="315"/>
      <c r="T185" s="315"/>
      <c r="U185" s="315"/>
      <c r="V185" s="315"/>
      <c r="W185" s="315"/>
      <c r="X185" s="315"/>
      <c r="Y185" s="315"/>
      <c r="Z185" s="315"/>
      <c r="AA185" s="315"/>
    </row>
    <row r="186" spans="2:27" ht="30" customHeight="1" x14ac:dyDescent="0.25">
      <c r="B186" s="496" t="s">
        <v>261</v>
      </c>
      <c r="C186" s="496"/>
      <c r="D186" s="496"/>
      <c r="E186" s="496"/>
      <c r="F186" s="315"/>
      <c r="G186" s="315"/>
      <c r="H186" s="315"/>
      <c r="I186" s="315"/>
      <c r="J186" s="315"/>
      <c r="K186" s="315"/>
      <c r="L186" s="315"/>
      <c r="M186" s="315"/>
      <c r="N186" s="315"/>
      <c r="O186" s="315"/>
      <c r="P186" s="315"/>
      <c r="Q186" s="315"/>
      <c r="R186" s="315"/>
      <c r="S186" s="315"/>
      <c r="T186" s="315"/>
      <c r="U186" s="315"/>
      <c r="V186" s="315"/>
      <c r="W186" s="315"/>
      <c r="X186" s="315"/>
      <c r="Y186" s="315"/>
      <c r="Z186" s="315"/>
      <c r="AA186" s="315"/>
    </row>
    <row r="187" spans="2:27" ht="30" x14ac:dyDescent="0.25">
      <c r="B187" s="232" t="s">
        <v>86</v>
      </c>
      <c r="C187" s="150">
        <f>Założenia_Predpoklady!C9</f>
        <v>2016</v>
      </c>
      <c r="D187" s="150">
        <f>Założenia_Predpoklady!D9</f>
        <v>2017</v>
      </c>
      <c r="E187" s="150">
        <f>Założenia_Predpoklady!E9</f>
        <v>2018</v>
      </c>
      <c r="F187" s="150">
        <f>Założenia_Predpoklady!F9</f>
        <v>2019</v>
      </c>
      <c r="G187" s="150">
        <f>Założenia_Predpoklady!G9</f>
        <v>2020</v>
      </c>
      <c r="H187" s="150">
        <f>Założenia_Predpoklady!H9</f>
        <v>2021</v>
      </c>
      <c r="I187" s="150">
        <f>Założenia_Predpoklady!I9</f>
        <v>2022</v>
      </c>
      <c r="J187" s="150">
        <f>Założenia_Predpoklady!J9</f>
        <v>2023</v>
      </c>
      <c r="K187" s="150">
        <f>Założenia_Predpoklady!K9</f>
        <v>2024</v>
      </c>
      <c r="L187" s="150">
        <f>Założenia_Predpoklady!L9</f>
        <v>2025</v>
      </c>
      <c r="M187" s="150">
        <f>Założenia_Predpoklady!M9</f>
        <v>2026</v>
      </c>
      <c r="N187" s="150">
        <f>Założenia_Predpoklady!N9</f>
        <v>2027</v>
      </c>
      <c r="O187" s="150">
        <f>Założenia_Predpoklady!O9</f>
        <v>2028</v>
      </c>
      <c r="P187" s="150">
        <f>Założenia_Predpoklady!P9</f>
        <v>2029</v>
      </c>
      <c r="Q187" s="150">
        <f>Założenia_Predpoklady!Q9</f>
        <v>2030</v>
      </c>
      <c r="R187" s="150">
        <f>Założenia_Predpoklady!R9</f>
        <v>2031</v>
      </c>
      <c r="S187" s="150">
        <f>Założenia_Predpoklady!S9</f>
        <v>2032</v>
      </c>
      <c r="T187" s="150">
        <f>Założenia_Predpoklady!T9</f>
        <v>2033</v>
      </c>
      <c r="U187" s="150">
        <f>Założenia_Predpoklady!U9</f>
        <v>2034</v>
      </c>
      <c r="V187" s="150">
        <f>Założenia_Predpoklady!V9</f>
        <v>2035</v>
      </c>
      <c r="W187" s="150">
        <f>Założenia_Predpoklady!W9</f>
        <v>2036</v>
      </c>
      <c r="X187" s="150">
        <f>Założenia_Predpoklady!X9</f>
        <v>2037</v>
      </c>
      <c r="Y187" s="150">
        <f>Założenia_Predpoklady!Y9</f>
        <v>2038</v>
      </c>
      <c r="Z187" s="150">
        <f>Założenia_Predpoklady!Z9</f>
        <v>2039</v>
      </c>
      <c r="AA187" s="150">
        <f>Założenia_Predpoklady!AA9</f>
        <v>2040</v>
      </c>
    </row>
    <row r="188" spans="2:27" ht="30" x14ac:dyDescent="0.25">
      <c r="B188" s="420" t="s">
        <v>87</v>
      </c>
      <c r="C188" s="421"/>
      <c r="D188" s="421"/>
      <c r="E188" s="421"/>
      <c r="F188" s="421"/>
      <c r="G188" s="421"/>
      <c r="H188" s="421"/>
      <c r="I188" s="421"/>
      <c r="J188" s="421"/>
      <c r="K188" s="421"/>
      <c r="L188" s="421"/>
      <c r="M188" s="421"/>
      <c r="N188" s="421"/>
      <c r="O188" s="421"/>
      <c r="P188" s="421"/>
      <c r="Q188" s="421"/>
      <c r="R188" s="421"/>
      <c r="S188" s="421"/>
      <c r="T188" s="421"/>
      <c r="U188" s="421"/>
      <c r="V188" s="421"/>
      <c r="W188" s="421"/>
      <c r="X188" s="421"/>
      <c r="Y188" s="421"/>
      <c r="Z188" s="421"/>
      <c r="AA188" s="421"/>
    </row>
    <row r="189" spans="2:27" ht="30" x14ac:dyDescent="0.25">
      <c r="B189" s="420" t="s">
        <v>344</v>
      </c>
      <c r="C189" s="421"/>
      <c r="D189" s="421"/>
      <c r="E189" s="421"/>
      <c r="F189" s="421"/>
      <c r="G189" s="421"/>
      <c r="H189" s="421"/>
      <c r="I189" s="421"/>
      <c r="J189" s="421"/>
      <c r="K189" s="421"/>
      <c r="L189" s="421"/>
      <c r="M189" s="421"/>
      <c r="N189" s="421"/>
      <c r="O189" s="421"/>
      <c r="P189" s="421"/>
      <c r="Q189" s="421"/>
      <c r="R189" s="421"/>
      <c r="S189" s="421"/>
      <c r="T189" s="421"/>
      <c r="U189" s="421"/>
      <c r="V189" s="421"/>
      <c r="W189" s="421"/>
      <c r="X189" s="421"/>
      <c r="Y189" s="421"/>
      <c r="Z189" s="421"/>
      <c r="AA189" s="421"/>
    </row>
    <row r="190" spans="2:27" ht="30" x14ac:dyDescent="0.25">
      <c r="B190" s="420" t="s">
        <v>88</v>
      </c>
      <c r="C190" s="421"/>
      <c r="D190" s="421"/>
      <c r="E190" s="421"/>
      <c r="F190" s="421"/>
      <c r="G190" s="421"/>
      <c r="H190" s="421"/>
      <c r="I190" s="421"/>
      <c r="J190" s="421"/>
      <c r="K190" s="421"/>
      <c r="L190" s="421"/>
      <c r="M190" s="421"/>
      <c r="N190" s="421"/>
      <c r="O190" s="421"/>
      <c r="P190" s="421"/>
      <c r="Q190" s="421"/>
      <c r="R190" s="421"/>
      <c r="S190" s="421"/>
      <c r="T190" s="421"/>
      <c r="U190" s="421"/>
      <c r="V190" s="421"/>
      <c r="W190" s="421"/>
      <c r="X190" s="421"/>
      <c r="Y190" s="421"/>
      <c r="Z190" s="421"/>
      <c r="AA190" s="421"/>
    </row>
    <row r="191" spans="2:27" ht="30" x14ac:dyDescent="0.25">
      <c r="B191" s="420" t="s">
        <v>89</v>
      </c>
      <c r="C191" s="421"/>
      <c r="D191" s="421"/>
      <c r="E191" s="421"/>
      <c r="F191" s="421"/>
      <c r="G191" s="421"/>
      <c r="H191" s="421"/>
      <c r="I191" s="421"/>
      <c r="J191" s="421"/>
      <c r="K191" s="421"/>
      <c r="L191" s="421"/>
      <c r="M191" s="421"/>
      <c r="N191" s="421"/>
      <c r="O191" s="421"/>
      <c r="P191" s="421"/>
      <c r="Q191" s="421"/>
      <c r="R191" s="421"/>
      <c r="S191" s="421"/>
      <c r="T191" s="421"/>
      <c r="U191" s="421"/>
      <c r="V191" s="421"/>
      <c r="W191" s="421"/>
      <c r="X191" s="421"/>
      <c r="Y191" s="421"/>
      <c r="Z191" s="421"/>
      <c r="AA191" s="421"/>
    </row>
    <row r="192" spans="2:27" ht="30" x14ac:dyDescent="0.25">
      <c r="B192" s="420" t="s">
        <v>90</v>
      </c>
      <c r="C192" s="421"/>
      <c r="D192" s="421"/>
      <c r="E192" s="421"/>
      <c r="F192" s="421"/>
      <c r="G192" s="421"/>
      <c r="H192" s="421"/>
      <c r="I192" s="421"/>
      <c r="J192" s="421"/>
      <c r="K192" s="421"/>
      <c r="L192" s="421"/>
      <c r="M192" s="421"/>
      <c r="N192" s="421"/>
      <c r="O192" s="421"/>
      <c r="P192" s="421"/>
      <c r="Q192" s="421"/>
      <c r="R192" s="421"/>
      <c r="S192" s="421"/>
      <c r="T192" s="421"/>
      <c r="U192" s="421"/>
      <c r="V192" s="421"/>
      <c r="W192" s="421"/>
      <c r="X192" s="421"/>
      <c r="Y192" s="421"/>
      <c r="Z192" s="421"/>
      <c r="AA192" s="421"/>
    </row>
    <row r="193" spans="2:27" ht="30" x14ac:dyDescent="0.25">
      <c r="B193" s="16" t="s">
        <v>182</v>
      </c>
      <c r="C193" s="321">
        <f>SUM(C188:C192)</f>
        <v>0</v>
      </c>
      <c r="D193" s="321">
        <f t="shared" ref="D193:AA193" si="156">SUM(D188:D192)</f>
        <v>0</v>
      </c>
      <c r="E193" s="321">
        <f t="shared" si="156"/>
        <v>0</v>
      </c>
      <c r="F193" s="321">
        <f t="shared" si="156"/>
        <v>0</v>
      </c>
      <c r="G193" s="321">
        <f t="shared" si="156"/>
        <v>0</v>
      </c>
      <c r="H193" s="321">
        <f t="shared" si="156"/>
        <v>0</v>
      </c>
      <c r="I193" s="321">
        <f t="shared" si="156"/>
        <v>0</v>
      </c>
      <c r="J193" s="321">
        <f t="shared" si="156"/>
        <v>0</v>
      </c>
      <c r="K193" s="321">
        <f t="shared" si="156"/>
        <v>0</v>
      </c>
      <c r="L193" s="321">
        <f t="shared" si="156"/>
        <v>0</v>
      </c>
      <c r="M193" s="321">
        <f t="shared" si="156"/>
        <v>0</v>
      </c>
      <c r="N193" s="321">
        <f t="shared" si="156"/>
        <v>0</v>
      </c>
      <c r="O193" s="321">
        <f t="shared" si="156"/>
        <v>0</v>
      </c>
      <c r="P193" s="321">
        <f t="shared" si="156"/>
        <v>0</v>
      </c>
      <c r="Q193" s="321">
        <f t="shared" si="156"/>
        <v>0</v>
      </c>
      <c r="R193" s="321">
        <f t="shared" si="156"/>
        <v>0</v>
      </c>
      <c r="S193" s="321">
        <f t="shared" si="156"/>
        <v>0</v>
      </c>
      <c r="T193" s="321">
        <f t="shared" si="156"/>
        <v>0</v>
      </c>
      <c r="U193" s="321">
        <f t="shared" si="156"/>
        <v>0</v>
      </c>
      <c r="V193" s="321">
        <f t="shared" si="156"/>
        <v>0</v>
      </c>
      <c r="W193" s="321">
        <f t="shared" si="156"/>
        <v>0</v>
      </c>
      <c r="X193" s="321">
        <f t="shared" si="156"/>
        <v>0</v>
      </c>
      <c r="Y193" s="321">
        <f t="shared" si="156"/>
        <v>0</v>
      </c>
      <c r="Z193" s="321">
        <f t="shared" si="156"/>
        <v>0</v>
      </c>
      <c r="AA193" s="321">
        <f t="shared" si="156"/>
        <v>0</v>
      </c>
    </row>
    <row r="194" spans="2:27" x14ac:dyDescent="0.25">
      <c r="B194" s="319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2:27" ht="30" customHeight="1" x14ac:dyDescent="0.25">
      <c r="B195" s="530" t="s">
        <v>262</v>
      </c>
      <c r="C195" s="530"/>
      <c r="D195" s="530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2:27" ht="30" x14ac:dyDescent="0.25">
      <c r="B196" s="16" t="s">
        <v>86</v>
      </c>
      <c r="C196" s="53">
        <f>Założenia_Predpoklady!C9</f>
        <v>2016</v>
      </c>
      <c r="D196" s="53">
        <f>Założenia_Predpoklady!D9</f>
        <v>2017</v>
      </c>
      <c r="E196" s="53">
        <f>Założenia_Predpoklady!E9</f>
        <v>2018</v>
      </c>
      <c r="F196" s="53">
        <f>Założenia_Predpoklady!F9</f>
        <v>2019</v>
      </c>
      <c r="G196" s="53">
        <f>Założenia_Predpoklady!G9</f>
        <v>2020</v>
      </c>
      <c r="H196" s="53">
        <f>Założenia_Predpoklady!H9</f>
        <v>2021</v>
      </c>
      <c r="I196" s="53">
        <f>Założenia_Predpoklady!I9</f>
        <v>2022</v>
      </c>
      <c r="J196" s="53">
        <f>Założenia_Predpoklady!J9</f>
        <v>2023</v>
      </c>
      <c r="K196" s="53">
        <f>Założenia_Predpoklady!K9</f>
        <v>2024</v>
      </c>
      <c r="L196" s="53">
        <f>Założenia_Predpoklady!L9</f>
        <v>2025</v>
      </c>
      <c r="M196" s="53">
        <f>Założenia_Predpoklady!M9</f>
        <v>2026</v>
      </c>
      <c r="N196" s="53">
        <f>Założenia_Predpoklady!N9</f>
        <v>2027</v>
      </c>
      <c r="O196" s="53">
        <f>Założenia_Predpoklady!O9</f>
        <v>2028</v>
      </c>
      <c r="P196" s="53">
        <f>Założenia_Predpoklady!P9</f>
        <v>2029</v>
      </c>
      <c r="Q196" s="53">
        <f>Założenia_Predpoklady!Q9</f>
        <v>2030</v>
      </c>
      <c r="R196" s="53">
        <f>Założenia_Predpoklady!R9</f>
        <v>2031</v>
      </c>
      <c r="S196" s="53">
        <f>Założenia_Predpoklady!S9</f>
        <v>2032</v>
      </c>
      <c r="T196" s="53">
        <f>Założenia_Predpoklady!T9</f>
        <v>2033</v>
      </c>
      <c r="U196" s="53">
        <f>Założenia_Predpoklady!U9</f>
        <v>2034</v>
      </c>
      <c r="V196" s="53">
        <f>Założenia_Predpoklady!V9</f>
        <v>2035</v>
      </c>
      <c r="W196" s="53">
        <f>Założenia_Predpoklady!W9</f>
        <v>2036</v>
      </c>
      <c r="X196" s="53">
        <f>Założenia_Predpoklady!X9</f>
        <v>2037</v>
      </c>
      <c r="Y196" s="53">
        <f>Założenia_Predpoklady!Y9</f>
        <v>2038</v>
      </c>
      <c r="Z196" s="53">
        <f>Założenia_Predpoklady!Z9</f>
        <v>2039</v>
      </c>
      <c r="AA196" s="53">
        <f>Założenia_Predpoklady!AA9</f>
        <v>2040</v>
      </c>
    </row>
    <row r="197" spans="2:27" ht="30" x14ac:dyDescent="0.25">
      <c r="B197" s="273" t="s">
        <v>263</v>
      </c>
      <c r="C197" s="323">
        <f t="shared" ref="C197:AA197" si="157">ABS(SUMIF(C188:C192,"&lt;0")+SUMIF(C183,"&lt;0"))</f>
        <v>0</v>
      </c>
      <c r="D197" s="323">
        <f t="shared" si="157"/>
        <v>0</v>
      </c>
      <c r="E197" s="323">
        <f t="shared" si="157"/>
        <v>0</v>
      </c>
      <c r="F197" s="323">
        <f t="shared" si="157"/>
        <v>0</v>
      </c>
      <c r="G197" s="323">
        <f t="shared" si="157"/>
        <v>0</v>
      </c>
      <c r="H197" s="323">
        <f t="shared" si="157"/>
        <v>0</v>
      </c>
      <c r="I197" s="323">
        <f t="shared" si="157"/>
        <v>0</v>
      </c>
      <c r="J197" s="323">
        <f t="shared" si="157"/>
        <v>0</v>
      </c>
      <c r="K197" s="323">
        <f t="shared" si="157"/>
        <v>0</v>
      </c>
      <c r="L197" s="323">
        <f t="shared" si="157"/>
        <v>0</v>
      </c>
      <c r="M197" s="323">
        <f t="shared" si="157"/>
        <v>0</v>
      </c>
      <c r="N197" s="323">
        <f t="shared" si="157"/>
        <v>0</v>
      </c>
      <c r="O197" s="323">
        <f t="shared" si="157"/>
        <v>0</v>
      </c>
      <c r="P197" s="323">
        <f t="shared" si="157"/>
        <v>0</v>
      </c>
      <c r="Q197" s="323">
        <f t="shared" si="157"/>
        <v>0</v>
      </c>
      <c r="R197" s="323">
        <f t="shared" si="157"/>
        <v>0</v>
      </c>
      <c r="S197" s="323">
        <f t="shared" si="157"/>
        <v>0</v>
      </c>
      <c r="T197" s="323">
        <f t="shared" si="157"/>
        <v>0</v>
      </c>
      <c r="U197" s="323">
        <f t="shared" si="157"/>
        <v>0</v>
      </c>
      <c r="V197" s="323">
        <f t="shared" si="157"/>
        <v>0</v>
      </c>
      <c r="W197" s="323">
        <f t="shared" si="157"/>
        <v>0</v>
      </c>
      <c r="X197" s="323">
        <f t="shared" si="157"/>
        <v>0</v>
      </c>
      <c r="Y197" s="323">
        <f t="shared" si="157"/>
        <v>0</v>
      </c>
      <c r="Z197" s="323">
        <f t="shared" si="157"/>
        <v>0</v>
      </c>
      <c r="AA197" s="323">
        <f t="shared" si="157"/>
        <v>0</v>
      </c>
    </row>
    <row r="198" spans="2:27" ht="60" x14ac:dyDescent="0.25">
      <c r="B198" s="76" t="s">
        <v>264</v>
      </c>
      <c r="C198" s="422"/>
      <c r="D198" s="422"/>
      <c r="E198" s="422"/>
      <c r="F198" s="422"/>
      <c r="G198" s="422"/>
      <c r="H198" s="422"/>
      <c r="I198" s="422"/>
      <c r="J198" s="422"/>
      <c r="K198" s="422"/>
      <c r="L198" s="422"/>
      <c r="M198" s="422"/>
      <c r="N198" s="422"/>
      <c r="O198" s="422"/>
      <c r="P198" s="422"/>
      <c r="Q198" s="422"/>
      <c r="R198" s="422"/>
      <c r="S198" s="422"/>
      <c r="T198" s="422"/>
      <c r="U198" s="422"/>
      <c r="V198" s="422"/>
      <c r="W198" s="422"/>
      <c r="X198" s="422"/>
      <c r="Y198" s="422"/>
      <c r="Z198" s="422"/>
      <c r="AA198" s="422"/>
    </row>
    <row r="199" spans="2:27" ht="60" x14ac:dyDescent="0.25">
      <c r="B199" s="273" t="s">
        <v>183</v>
      </c>
      <c r="C199" s="333">
        <f>C197-C198</f>
        <v>0</v>
      </c>
      <c r="D199" s="333">
        <f t="shared" ref="D199:AA199" si="158">D197-D198</f>
        <v>0</v>
      </c>
      <c r="E199" s="333">
        <f t="shared" si="158"/>
        <v>0</v>
      </c>
      <c r="F199" s="333">
        <f t="shared" si="158"/>
        <v>0</v>
      </c>
      <c r="G199" s="333">
        <f t="shared" si="158"/>
        <v>0</v>
      </c>
      <c r="H199" s="333">
        <f t="shared" si="158"/>
        <v>0</v>
      </c>
      <c r="I199" s="333">
        <f t="shared" si="158"/>
        <v>0</v>
      </c>
      <c r="J199" s="333">
        <f t="shared" si="158"/>
        <v>0</v>
      </c>
      <c r="K199" s="333">
        <f t="shared" si="158"/>
        <v>0</v>
      </c>
      <c r="L199" s="333">
        <f t="shared" si="158"/>
        <v>0</v>
      </c>
      <c r="M199" s="333">
        <f t="shared" si="158"/>
        <v>0</v>
      </c>
      <c r="N199" s="333">
        <f t="shared" si="158"/>
        <v>0</v>
      </c>
      <c r="O199" s="333">
        <f t="shared" si="158"/>
        <v>0</v>
      </c>
      <c r="P199" s="333">
        <f t="shared" si="158"/>
        <v>0</v>
      </c>
      <c r="Q199" s="333">
        <f t="shared" si="158"/>
        <v>0</v>
      </c>
      <c r="R199" s="333">
        <f t="shared" si="158"/>
        <v>0</v>
      </c>
      <c r="S199" s="333">
        <f t="shared" si="158"/>
        <v>0</v>
      </c>
      <c r="T199" s="333">
        <f t="shared" si="158"/>
        <v>0</v>
      </c>
      <c r="U199" s="333">
        <f t="shared" si="158"/>
        <v>0</v>
      </c>
      <c r="V199" s="333">
        <f t="shared" si="158"/>
        <v>0</v>
      </c>
      <c r="W199" s="333">
        <f t="shared" si="158"/>
        <v>0</v>
      </c>
      <c r="X199" s="333">
        <f t="shared" si="158"/>
        <v>0</v>
      </c>
      <c r="Y199" s="333">
        <f t="shared" si="158"/>
        <v>0</v>
      </c>
      <c r="Z199" s="333">
        <f t="shared" si="158"/>
        <v>0</v>
      </c>
      <c r="AA199" s="333">
        <f t="shared" si="158"/>
        <v>0</v>
      </c>
    </row>
    <row r="200" spans="2:27" x14ac:dyDescent="0.25">
      <c r="B200" s="319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2:27" ht="30" x14ac:dyDescent="0.25">
      <c r="B201" s="322" t="s">
        <v>186</v>
      </c>
      <c r="C201" s="320"/>
      <c r="D201" s="320"/>
      <c r="E201" s="320"/>
      <c r="F201" s="320"/>
      <c r="G201" s="320"/>
      <c r="H201" s="320"/>
      <c r="I201" s="320"/>
      <c r="J201" s="320"/>
      <c r="K201" s="320"/>
      <c r="L201" s="320"/>
      <c r="M201" s="320"/>
      <c r="N201" s="320"/>
      <c r="O201" s="320"/>
      <c r="P201" s="320"/>
      <c r="Q201" s="320"/>
      <c r="R201" s="320"/>
      <c r="S201" s="320"/>
      <c r="T201" s="320"/>
      <c r="U201" s="320"/>
      <c r="V201" s="320"/>
      <c r="W201" s="320"/>
      <c r="X201" s="320"/>
      <c r="Y201" s="320"/>
      <c r="Z201" s="320"/>
      <c r="AA201" s="320"/>
    </row>
    <row r="202" spans="2:27" ht="30" x14ac:dyDescent="0.25">
      <c r="B202" s="318" t="s">
        <v>184</v>
      </c>
      <c r="C202" s="332">
        <f t="shared" ref="C202:AA202" si="159">C183+C193</f>
        <v>0</v>
      </c>
      <c r="D202" s="332">
        <f t="shared" si="159"/>
        <v>0</v>
      </c>
      <c r="E202" s="332">
        <f t="shared" si="159"/>
        <v>0</v>
      </c>
      <c r="F202" s="332">
        <f t="shared" si="159"/>
        <v>0</v>
      </c>
      <c r="G202" s="332">
        <f t="shared" si="159"/>
        <v>0</v>
      </c>
      <c r="H202" s="332">
        <f t="shared" si="159"/>
        <v>0</v>
      </c>
      <c r="I202" s="332">
        <f t="shared" si="159"/>
        <v>0</v>
      </c>
      <c r="J202" s="332">
        <f t="shared" si="159"/>
        <v>0</v>
      </c>
      <c r="K202" s="332">
        <f t="shared" si="159"/>
        <v>0</v>
      </c>
      <c r="L202" s="332">
        <f t="shared" si="159"/>
        <v>0</v>
      </c>
      <c r="M202" s="332">
        <f t="shared" si="159"/>
        <v>0</v>
      </c>
      <c r="N202" s="332">
        <f t="shared" si="159"/>
        <v>0</v>
      </c>
      <c r="O202" s="332">
        <f t="shared" si="159"/>
        <v>0</v>
      </c>
      <c r="P202" s="332">
        <f t="shared" si="159"/>
        <v>0</v>
      </c>
      <c r="Q202" s="332">
        <f t="shared" si="159"/>
        <v>0</v>
      </c>
      <c r="R202" s="332">
        <f t="shared" si="159"/>
        <v>0</v>
      </c>
      <c r="S202" s="332">
        <f t="shared" si="159"/>
        <v>0</v>
      </c>
      <c r="T202" s="332">
        <f t="shared" si="159"/>
        <v>0</v>
      </c>
      <c r="U202" s="332">
        <f t="shared" si="159"/>
        <v>0</v>
      </c>
      <c r="V202" s="332">
        <f t="shared" si="159"/>
        <v>0</v>
      </c>
      <c r="W202" s="332">
        <f t="shared" si="159"/>
        <v>0</v>
      </c>
      <c r="X202" s="332">
        <f t="shared" si="159"/>
        <v>0</v>
      </c>
      <c r="Y202" s="332">
        <f t="shared" si="159"/>
        <v>0</v>
      </c>
      <c r="Z202" s="332">
        <f t="shared" si="159"/>
        <v>0</v>
      </c>
      <c r="AA202" s="332">
        <f t="shared" si="159"/>
        <v>0</v>
      </c>
    </row>
    <row r="203" spans="2:27" ht="30" customHeight="1" x14ac:dyDescent="0.25">
      <c r="B203" s="291" t="s">
        <v>253</v>
      </c>
      <c r="C203" s="292">
        <f>SUM(C202:AA202)</f>
        <v>0</v>
      </c>
      <c r="D203" s="517" t="str">
        <f>IF(C203&lt;0,"Wartość ujemna oznacza oszczędności kosztów utrzymania.
Negatívna hodnota znamená úspory nákladov na údržbu.","")</f>
        <v/>
      </c>
      <c r="E203" s="518"/>
      <c r="F203" s="518"/>
      <c r="G203" s="519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</row>
    <row r="204" spans="2:27" ht="30" customHeight="1" x14ac:dyDescent="0.25">
      <c r="B204" s="291" t="s">
        <v>91</v>
      </c>
      <c r="C204" s="292">
        <f>NPV(Założenia_Predpoklady!$C$7,Dane_Dáta!D202:AA202)+Dane_Dáta!C202</f>
        <v>0</v>
      </c>
      <c r="D204" s="520"/>
      <c r="E204" s="521"/>
      <c r="F204" s="521"/>
      <c r="G204" s="522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</row>
    <row r="205" spans="2:27" x14ac:dyDescent="0.25">
      <c r="B205" s="324"/>
      <c r="C205" s="325"/>
      <c r="D205" s="326"/>
      <c r="E205" s="326"/>
      <c r="F205" s="326"/>
      <c r="G205" s="32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</row>
    <row r="206" spans="2:27" ht="60" customHeight="1" x14ac:dyDescent="0.25">
      <c r="B206" s="291" t="s">
        <v>265</v>
      </c>
      <c r="C206" s="327">
        <f t="shared" ref="C206:AA206" si="160">ABS(SUMIF(C188:C192,"&gt;0")+SUMIF(C183,"&gt;0"))</f>
        <v>0</v>
      </c>
      <c r="D206" s="327">
        <f t="shared" si="160"/>
        <v>0</v>
      </c>
      <c r="E206" s="327">
        <f t="shared" si="160"/>
        <v>0</v>
      </c>
      <c r="F206" s="327">
        <f t="shared" si="160"/>
        <v>0</v>
      </c>
      <c r="G206" s="327">
        <f t="shared" si="160"/>
        <v>0</v>
      </c>
      <c r="H206" s="327">
        <f t="shared" si="160"/>
        <v>0</v>
      </c>
      <c r="I206" s="327">
        <f t="shared" si="160"/>
        <v>0</v>
      </c>
      <c r="J206" s="327">
        <f t="shared" si="160"/>
        <v>0</v>
      </c>
      <c r="K206" s="327">
        <f t="shared" si="160"/>
        <v>0</v>
      </c>
      <c r="L206" s="327">
        <f t="shared" si="160"/>
        <v>0</v>
      </c>
      <c r="M206" s="327">
        <f t="shared" si="160"/>
        <v>0</v>
      </c>
      <c r="N206" s="327">
        <f t="shared" si="160"/>
        <v>0</v>
      </c>
      <c r="O206" s="327">
        <f t="shared" si="160"/>
        <v>0</v>
      </c>
      <c r="P206" s="327">
        <f t="shared" si="160"/>
        <v>0</v>
      </c>
      <c r="Q206" s="327">
        <f t="shared" si="160"/>
        <v>0</v>
      </c>
      <c r="R206" s="327">
        <f t="shared" si="160"/>
        <v>0</v>
      </c>
      <c r="S206" s="327">
        <f t="shared" si="160"/>
        <v>0</v>
      </c>
      <c r="T206" s="327">
        <f t="shared" si="160"/>
        <v>0</v>
      </c>
      <c r="U206" s="327">
        <f t="shared" si="160"/>
        <v>0</v>
      </c>
      <c r="V206" s="327">
        <f t="shared" si="160"/>
        <v>0</v>
      </c>
      <c r="W206" s="327">
        <f t="shared" si="160"/>
        <v>0</v>
      </c>
      <c r="X206" s="327">
        <f t="shared" si="160"/>
        <v>0</v>
      </c>
      <c r="Y206" s="327">
        <f t="shared" si="160"/>
        <v>0</v>
      </c>
      <c r="Z206" s="327">
        <f t="shared" si="160"/>
        <v>0</v>
      </c>
      <c r="AA206" s="327">
        <f t="shared" si="160"/>
        <v>0</v>
      </c>
    </row>
    <row r="207" spans="2:27" ht="30" customHeight="1" x14ac:dyDescent="0.25">
      <c r="B207" s="291" t="s">
        <v>253</v>
      </c>
      <c r="C207" s="292">
        <f>SUM(C206:AA206)</f>
        <v>0</v>
      </c>
      <c r="D207" s="334"/>
      <c r="E207" s="334"/>
      <c r="F207" s="334"/>
      <c r="G207" s="334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</row>
    <row r="208" spans="2:27" ht="30" customHeight="1" x14ac:dyDescent="0.25">
      <c r="B208" s="291" t="s">
        <v>91</v>
      </c>
      <c r="C208" s="292">
        <f>NPV(Założenia_Predpoklady!$C$7,Dane_Dáta!D206:AA206)+Dane_Dáta!C206</f>
        <v>0</v>
      </c>
      <c r="D208" s="334"/>
      <c r="E208" s="334"/>
      <c r="F208" s="334"/>
      <c r="G208" s="334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</row>
    <row r="209" spans="1:27" x14ac:dyDescent="0.25">
      <c r="A209" s="12"/>
    </row>
    <row r="210" spans="1:27" ht="30" x14ac:dyDescent="0.25">
      <c r="B210" s="260" t="s">
        <v>234</v>
      </c>
    </row>
    <row r="211" spans="1:27" ht="15" customHeight="1" x14ac:dyDescent="0.25">
      <c r="B211" s="135" t="s">
        <v>25</v>
      </c>
      <c r="C211" s="135"/>
      <c r="D211" s="135"/>
      <c r="E211" s="135"/>
      <c r="F211" s="135"/>
      <c r="G211" s="374" t="s">
        <v>266</v>
      </c>
      <c r="H211" s="374"/>
      <c r="I211" s="374"/>
      <c r="J211" s="374"/>
      <c r="K211" s="374"/>
      <c r="L211" s="374"/>
      <c r="M211" s="298"/>
      <c r="N211" s="298"/>
      <c r="O211" s="298"/>
      <c r="P211" s="298"/>
      <c r="Q211" s="298"/>
      <c r="R211" s="298"/>
      <c r="S211" s="298"/>
      <c r="T211" s="298"/>
      <c r="U211" s="467"/>
      <c r="V211" s="467"/>
      <c r="W211" s="467"/>
      <c r="X211" s="467"/>
    </row>
    <row r="212" spans="1:27" ht="45" customHeight="1" x14ac:dyDescent="0.25">
      <c r="B212" s="527" t="s">
        <v>26</v>
      </c>
      <c r="C212" s="527"/>
      <c r="D212" s="527"/>
      <c r="E212" s="527"/>
      <c r="F212" s="527"/>
      <c r="G212" s="528" t="s">
        <v>345</v>
      </c>
      <c r="H212" s="528"/>
      <c r="I212" s="528"/>
      <c r="J212" s="528"/>
      <c r="K212" s="528"/>
      <c r="L212" s="528"/>
      <c r="M212" s="469"/>
      <c r="N212" s="469"/>
      <c r="O212" s="469"/>
      <c r="P212" s="469"/>
      <c r="Q212" s="469"/>
      <c r="R212" s="469"/>
      <c r="S212" s="469"/>
      <c r="T212" s="469"/>
      <c r="U212" s="467"/>
      <c r="V212" s="467"/>
      <c r="W212" s="467"/>
      <c r="X212" s="467"/>
    </row>
    <row r="214" spans="1:27" ht="30" customHeight="1" x14ac:dyDescent="0.25">
      <c r="B214" s="496" t="s">
        <v>92</v>
      </c>
      <c r="C214" s="496"/>
      <c r="D214" s="496"/>
      <c r="E214" s="496"/>
      <c r="F214" s="496"/>
      <c r="G214" s="496"/>
      <c r="H214" s="496"/>
      <c r="I214" s="496"/>
      <c r="J214" s="496"/>
      <c r="K214" s="496"/>
      <c r="L214" s="496"/>
    </row>
    <row r="215" spans="1:27" x14ac:dyDescent="0.25">
      <c r="B215" s="2"/>
      <c r="C215" s="25">
        <f>Założenia_Predpoklady!C9</f>
        <v>2016</v>
      </c>
      <c r="D215" s="25">
        <f>Założenia_Predpoklady!D9</f>
        <v>2017</v>
      </c>
      <c r="E215" s="25">
        <f>Założenia_Predpoklady!E9</f>
        <v>2018</v>
      </c>
      <c r="F215" s="25">
        <f>Założenia_Predpoklady!F9</f>
        <v>2019</v>
      </c>
      <c r="G215" s="25">
        <f>Założenia_Predpoklady!G9</f>
        <v>2020</v>
      </c>
      <c r="H215" s="25">
        <f>Założenia_Predpoklady!H9</f>
        <v>2021</v>
      </c>
      <c r="I215" s="25">
        <f>Założenia_Predpoklady!I9</f>
        <v>2022</v>
      </c>
      <c r="J215" s="25">
        <f>Założenia_Predpoklady!J9</f>
        <v>2023</v>
      </c>
      <c r="K215" s="25">
        <f>Założenia_Predpoklady!K9</f>
        <v>2024</v>
      </c>
      <c r="L215" s="25">
        <f>Założenia_Predpoklady!L9</f>
        <v>2025</v>
      </c>
      <c r="M215" s="25">
        <f>Założenia_Predpoklady!M9</f>
        <v>2026</v>
      </c>
      <c r="N215" s="25">
        <f>Założenia_Predpoklady!N9</f>
        <v>2027</v>
      </c>
      <c r="O215" s="25">
        <f>Założenia_Predpoklady!O9</f>
        <v>2028</v>
      </c>
      <c r="P215" s="25">
        <f>Założenia_Predpoklady!P9</f>
        <v>2029</v>
      </c>
      <c r="Q215" s="25">
        <f>Założenia_Predpoklady!Q9</f>
        <v>2030</v>
      </c>
      <c r="R215" s="25">
        <f>Założenia_Predpoklady!R9</f>
        <v>2031</v>
      </c>
      <c r="S215" s="25">
        <f>Założenia_Predpoklady!S9</f>
        <v>2032</v>
      </c>
      <c r="T215" s="25">
        <f>Założenia_Predpoklady!T9</f>
        <v>2033</v>
      </c>
      <c r="U215" s="25">
        <f>Założenia_Predpoklady!U9</f>
        <v>2034</v>
      </c>
      <c r="V215" s="25">
        <f>Założenia_Predpoklady!V9</f>
        <v>2035</v>
      </c>
      <c r="W215" s="25">
        <f>Założenia_Predpoklady!W9</f>
        <v>2036</v>
      </c>
      <c r="X215" s="25">
        <f>Założenia_Predpoklady!X9</f>
        <v>2037</v>
      </c>
      <c r="Y215" s="25">
        <f>Założenia_Predpoklady!Y9</f>
        <v>2038</v>
      </c>
      <c r="Z215" s="25">
        <f>Założenia_Predpoklady!Z9</f>
        <v>2039</v>
      </c>
      <c r="AA215" s="25">
        <f>Założenia_Predpoklady!AA9</f>
        <v>2040</v>
      </c>
    </row>
    <row r="216" spans="1:27" ht="30" customHeight="1" x14ac:dyDescent="0.25">
      <c r="B216" s="136" t="s">
        <v>93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1:27" ht="30" customHeight="1" x14ac:dyDescent="0.25">
      <c r="B217" s="121" t="s">
        <v>94</v>
      </c>
      <c r="C217" s="168">
        <f t="shared" ref="C217:AA217" si="161">C122</f>
        <v>0</v>
      </c>
      <c r="D217" s="168">
        <f t="shared" si="161"/>
        <v>0</v>
      </c>
      <c r="E217" s="168">
        <f t="shared" si="161"/>
        <v>0</v>
      </c>
      <c r="F217" s="168">
        <f t="shared" si="161"/>
        <v>0</v>
      </c>
      <c r="G217" s="168">
        <f t="shared" si="161"/>
        <v>0</v>
      </c>
      <c r="H217" s="168">
        <f t="shared" si="161"/>
        <v>0</v>
      </c>
      <c r="I217" s="168">
        <f t="shared" si="161"/>
        <v>0</v>
      </c>
      <c r="J217" s="168">
        <f t="shared" si="161"/>
        <v>0</v>
      </c>
      <c r="K217" s="168">
        <f t="shared" si="161"/>
        <v>0</v>
      </c>
      <c r="L217" s="168">
        <f t="shared" si="161"/>
        <v>0</v>
      </c>
      <c r="M217" s="168">
        <f t="shared" si="161"/>
        <v>0</v>
      </c>
      <c r="N217" s="168">
        <f t="shared" si="161"/>
        <v>0</v>
      </c>
      <c r="O217" s="168">
        <f t="shared" si="161"/>
        <v>0</v>
      </c>
      <c r="P217" s="168">
        <f t="shared" si="161"/>
        <v>0</v>
      </c>
      <c r="Q217" s="168">
        <f t="shared" si="161"/>
        <v>0</v>
      </c>
      <c r="R217" s="168">
        <f t="shared" si="161"/>
        <v>0</v>
      </c>
      <c r="S217" s="168">
        <f t="shared" si="161"/>
        <v>0</v>
      </c>
      <c r="T217" s="168">
        <f t="shared" si="161"/>
        <v>0</v>
      </c>
      <c r="U217" s="168">
        <f t="shared" si="161"/>
        <v>0</v>
      </c>
      <c r="V217" s="168">
        <f t="shared" si="161"/>
        <v>0</v>
      </c>
      <c r="W217" s="168">
        <f t="shared" si="161"/>
        <v>0</v>
      </c>
      <c r="X217" s="168">
        <f t="shared" si="161"/>
        <v>0</v>
      </c>
      <c r="Y217" s="168">
        <f t="shared" si="161"/>
        <v>0</v>
      </c>
      <c r="Z217" s="168">
        <f t="shared" si="161"/>
        <v>0</v>
      </c>
      <c r="AA217" s="168">
        <f t="shared" si="161"/>
        <v>0</v>
      </c>
    </row>
    <row r="218" spans="1:27" ht="30" customHeight="1" x14ac:dyDescent="0.25">
      <c r="A218" s="14"/>
      <c r="B218" s="121" t="s">
        <v>95</v>
      </c>
      <c r="C218" s="168">
        <f t="shared" ref="C218:AA218" si="162">C202</f>
        <v>0</v>
      </c>
      <c r="D218" s="168">
        <f t="shared" si="162"/>
        <v>0</v>
      </c>
      <c r="E218" s="168">
        <f t="shared" si="162"/>
        <v>0</v>
      </c>
      <c r="F218" s="168">
        <f t="shared" si="162"/>
        <v>0</v>
      </c>
      <c r="G218" s="168">
        <f t="shared" si="162"/>
        <v>0</v>
      </c>
      <c r="H218" s="168">
        <f t="shared" si="162"/>
        <v>0</v>
      </c>
      <c r="I218" s="168">
        <f t="shared" si="162"/>
        <v>0</v>
      </c>
      <c r="J218" s="168">
        <f t="shared" si="162"/>
        <v>0</v>
      </c>
      <c r="K218" s="168">
        <f t="shared" si="162"/>
        <v>0</v>
      </c>
      <c r="L218" s="168">
        <f t="shared" si="162"/>
        <v>0</v>
      </c>
      <c r="M218" s="168">
        <f t="shared" si="162"/>
        <v>0</v>
      </c>
      <c r="N218" s="168">
        <f t="shared" si="162"/>
        <v>0</v>
      </c>
      <c r="O218" s="168">
        <f t="shared" si="162"/>
        <v>0</v>
      </c>
      <c r="P218" s="168">
        <f t="shared" si="162"/>
        <v>0</v>
      </c>
      <c r="Q218" s="168">
        <f t="shared" si="162"/>
        <v>0</v>
      </c>
      <c r="R218" s="168">
        <f t="shared" si="162"/>
        <v>0</v>
      </c>
      <c r="S218" s="168">
        <f t="shared" si="162"/>
        <v>0</v>
      </c>
      <c r="T218" s="168">
        <f t="shared" si="162"/>
        <v>0</v>
      </c>
      <c r="U218" s="168">
        <f t="shared" si="162"/>
        <v>0</v>
      </c>
      <c r="V218" s="168">
        <f t="shared" si="162"/>
        <v>0</v>
      </c>
      <c r="W218" s="168">
        <f t="shared" si="162"/>
        <v>0</v>
      </c>
      <c r="X218" s="168">
        <f t="shared" si="162"/>
        <v>0</v>
      </c>
      <c r="Y218" s="168">
        <f t="shared" si="162"/>
        <v>0</v>
      </c>
      <c r="Z218" s="168">
        <f t="shared" si="162"/>
        <v>0</v>
      </c>
      <c r="AA218" s="168">
        <f t="shared" si="162"/>
        <v>0</v>
      </c>
    </row>
    <row r="219" spans="1:27" ht="30" customHeight="1" x14ac:dyDescent="0.25">
      <c r="A219" s="14"/>
      <c r="B219" s="122" t="s">
        <v>96</v>
      </c>
      <c r="C219" s="169">
        <f>C217-C218</f>
        <v>0</v>
      </c>
      <c r="D219" s="169">
        <f t="shared" ref="D219:Z219" si="163">D217-D218</f>
        <v>0</v>
      </c>
      <c r="E219" s="169">
        <f t="shared" si="163"/>
        <v>0</v>
      </c>
      <c r="F219" s="169">
        <f t="shared" si="163"/>
        <v>0</v>
      </c>
      <c r="G219" s="169">
        <f t="shared" si="163"/>
        <v>0</v>
      </c>
      <c r="H219" s="169">
        <f t="shared" si="163"/>
        <v>0</v>
      </c>
      <c r="I219" s="169">
        <f t="shared" si="163"/>
        <v>0</v>
      </c>
      <c r="J219" s="169">
        <f t="shared" si="163"/>
        <v>0</v>
      </c>
      <c r="K219" s="169">
        <f t="shared" si="163"/>
        <v>0</v>
      </c>
      <c r="L219" s="169">
        <f t="shared" si="163"/>
        <v>0</v>
      </c>
      <c r="M219" s="169">
        <f t="shared" si="163"/>
        <v>0</v>
      </c>
      <c r="N219" s="169">
        <f t="shared" si="163"/>
        <v>0</v>
      </c>
      <c r="O219" s="169">
        <f t="shared" si="163"/>
        <v>0</v>
      </c>
      <c r="P219" s="169">
        <f t="shared" si="163"/>
        <v>0</v>
      </c>
      <c r="Q219" s="169">
        <f t="shared" si="163"/>
        <v>0</v>
      </c>
      <c r="R219" s="169">
        <f t="shared" si="163"/>
        <v>0</v>
      </c>
      <c r="S219" s="169">
        <f t="shared" si="163"/>
        <v>0</v>
      </c>
      <c r="T219" s="169">
        <f t="shared" si="163"/>
        <v>0</v>
      </c>
      <c r="U219" s="169">
        <f t="shared" si="163"/>
        <v>0</v>
      </c>
      <c r="V219" s="169">
        <f t="shared" si="163"/>
        <v>0</v>
      </c>
      <c r="W219" s="169">
        <f t="shared" si="163"/>
        <v>0</v>
      </c>
      <c r="X219" s="169">
        <f t="shared" si="163"/>
        <v>0</v>
      </c>
      <c r="Y219" s="169">
        <f t="shared" si="163"/>
        <v>0</v>
      </c>
      <c r="Z219" s="169">
        <f t="shared" si="163"/>
        <v>0</v>
      </c>
      <c r="AA219" s="169">
        <f t="shared" ref="AA219" si="164">AA217-AA218</f>
        <v>0</v>
      </c>
    </row>
    <row r="220" spans="1:27" ht="30" customHeight="1" x14ac:dyDescent="0.25">
      <c r="B220" s="137" t="s">
        <v>267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</row>
    <row r="221" spans="1:27" ht="30" customHeight="1" x14ac:dyDescent="0.25">
      <c r="B221" s="121" t="s">
        <v>268</v>
      </c>
      <c r="C221" s="168">
        <f t="shared" ref="C221:J221" si="165">C18</f>
        <v>0</v>
      </c>
      <c r="D221" s="168">
        <f t="shared" si="165"/>
        <v>0</v>
      </c>
      <c r="E221" s="168">
        <f t="shared" si="165"/>
        <v>0</v>
      </c>
      <c r="F221" s="168">
        <f t="shared" si="165"/>
        <v>0</v>
      </c>
      <c r="G221" s="168">
        <f t="shared" si="165"/>
        <v>0</v>
      </c>
      <c r="H221" s="168">
        <f t="shared" si="165"/>
        <v>0</v>
      </c>
      <c r="I221" s="168">
        <f t="shared" si="165"/>
        <v>0</v>
      </c>
      <c r="J221" s="168">
        <f t="shared" si="165"/>
        <v>0</v>
      </c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</row>
    <row r="222" spans="1:27" ht="30" customHeight="1" x14ac:dyDescent="0.25">
      <c r="B222" s="229" t="s">
        <v>97</v>
      </c>
      <c r="C222" s="182">
        <f t="shared" ref="C222:J222" si="166">C15</f>
        <v>0</v>
      </c>
      <c r="D222" s="182">
        <f t="shared" si="166"/>
        <v>0</v>
      </c>
      <c r="E222" s="182">
        <f t="shared" si="166"/>
        <v>0</v>
      </c>
      <c r="F222" s="182">
        <f t="shared" si="166"/>
        <v>0</v>
      </c>
      <c r="G222" s="182">
        <f t="shared" si="166"/>
        <v>0</v>
      </c>
      <c r="H222" s="182">
        <f t="shared" si="166"/>
        <v>0</v>
      </c>
      <c r="I222" s="182">
        <f t="shared" si="166"/>
        <v>0</v>
      </c>
      <c r="J222" s="182">
        <f t="shared" si="166"/>
        <v>0</v>
      </c>
      <c r="K222" s="182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  <c r="AA222" s="168"/>
    </row>
    <row r="223" spans="1:27" ht="30" customHeight="1" x14ac:dyDescent="0.25">
      <c r="B223" s="121" t="s">
        <v>109</v>
      </c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  <c r="AA223" s="168">
        <f>AA84</f>
        <v>0</v>
      </c>
    </row>
    <row r="224" spans="1:27" ht="30" customHeight="1" x14ac:dyDescent="0.25">
      <c r="B224" s="122" t="s">
        <v>98</v>
      </c>
      <c r="C224" s="169">
        <f>-C221+C222+C223</f>
        <v>0</v>
      </c>
      <c r="D224" s="169">
        <f t="shared" ref="D224:Z224" si="167">-D221+D222+D223</f>
        <v>0</v>
      </c>
      <c r="E224" s="169">
        <f t="shared" si="167"/>
        <v>0</v>
      </c>
      <c r="F224" s="169">
        <f t="shared" si="167"/>
        <v>0</v>
      </c>
      <c r="G224" s="169">
        <f t="shared" si="167"/>
        <v>0</v>
      </c>
      <c r="H224" s="169">
        <f t="shared" si="167"/>
        <v>0</v>
      </c>
      <c r="I224" s="169">
        <f t="shared" si="167"/>
        <v>0</v>
      </c>
      <c r="J224" s="169">
        <f t="shared" si="167"/>
        <v>0</v>
      </c>
      <c r="K224" s="169">
        <f t="shared" si="167"/>
        <v>0</v>
      </c>
      <c r="L224" s="169">
        <f t="shared" si="167"/>
        <v>0</v>
      </c>
      <c r="M224" s="169">
        <f t="shared" si="167"/>
        <v>0</v>
      </c>
      <c r="N224" s="169">
        <f t="shared" si="167"/>
        <v>0</v>
      </c>
      <c r="O224" s="169">
        <f t="shared" si="167"/>
        <v>0</v>
      </c>
      <c r="P224" s="169">
        <f t="shared" si="167"/>
        <v>0</v>
      </c>
      <c r="Q224" s="169">
        <f t="shared" si="167"/>
        <v>0</v>
      </c>
      <c r="R224" s="169">
        <f t="shared" si="167"/>
        <v>0</v>
      </c>
      <c r="S224" s="169">
        <f t="shared" si="167"/>
        <v>0</v>
      </c>
      <c r="T224" s="169">
        <f t="shared" si="167"/>
        <v>0</v>
      </c>
      <c r="U224" s="169">
        <f t="shared" si="167"/>
        <v>0</v>
      </c>
      <c r="V224" s="169">
        <f t="shared" si="167"/>
        <v>0</v>
      </c>
      <c r="W224" s="169">
        <f t="shared" si="167"/>
        <v>0</v>
      </c>
      <c r="X224" s="169">
        <f t="shared" si="167"/>
        <v>0</v>
      </c>
      <c r="Y224" s="169">
        <f t="shared" si="167"/>
        <v>0</v>
      </c>
      <c r="Z224" s="169">
        <f t="shared" si="167"/>
        <v>0</v>
      </c>
      <c r="AA224" s="169">
        <f t="shared" ref="AA224" si="168">-AA221+AA222+AA223</f>
        <v>0</v>
      </c>
    </row>
    <row r="225" spans="2:27" ht="30" customHeight="1" x14ac:dyDescent="0.25">
      <c r="B225" s="138" t="s">
        <v>99</v>
      </c>
      <c r="C225" s="172"/>
      <c r="D225" s="172"/>
      <c r="E225" s="172"/>
      <c r="F225" s="172"/>
      <c r="G225" s="172"/>
      <c r="H225" s="172"/>
      <c r="I225" s="172"/>
      <c r="J225" s="172"/>
      <c r="K225" s="172"/>
      <c r="L225" s="172"/>
      <c r="M225" s="172"/>
      <c r="N225" s="172"/>
      <c r="O225" s="172"/>
      <c r="P225" s="172"/>
      <c r="Q225" s="172"/>
      <c r="R225" s="172"/>
      <c r="S225" s="172"/>
      <c r="T225" s="172"/>
      <c r="U225" s="172"/>
      <c r="V225" s="172"/>
      <c r="W225" s="172"/>
      <c r="X225" s="172"/>
      <c r="Y225" s="172"/>
      <c r="Z225" s="172"/>
      <c r="AA225" s="172"/>
    </row>
    <row r="226" spans="2:27" ht="30" customHeight="1" x14ac:dyDescent="0.25">
      <c r="B226" s="16" t="s">
        <v>214</v>
      </c>
      <c r="C226" s="168">
        <f t="shared" ref="C226:J228" si="169">C24</f>
        <v>0</v>
      </c>
      <c r="D226" s="168">
        <f t="shared" si="169"/>
        <v>0</v>
      </c>
      <c r="E226" s="168">
        <f t="shared" si="169"/>
        <v>0</v>
      </c>
      <c r="F226" s="168">
        <f t="shared" si="169"/>
        <v>0</v>
      </c>
      <c r="G226" s="168">
        <f t="shared" si="169"/>
        <v>0</v>
      </c>
      <c r="H226" s="168">
        <f t="shared" si="169"/>
        <v>0</v>
      </c>
      <c r="I226" s="168">
        <f t="shared" si="169"/>
        <v>0</v>
      </c>
      <c r="J226" s="168">
        <f t="shared" si="169"/>
        <v>0</v>
      </c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  <c r="AA226" s="168"/>
    </row>
    <row r="227" spans="2:27" ht="30" customHeight="1" x14ac:dyDescent="0.25">
      <c r="B227" s="15" t="s">
        <v>100</v>
      </c>
      <c r="C227" s="168">
        <f t="shared" ref="C227:I227" si="170">C25-C229</f>
        <v>0</v>
      </c>
      <c r="D227" s="168">
        <f t="shared" si="170"/>
        <v>0</v>
      </c>
      <c r="E227" s="168">
        <f t="shared" si="170"/>
        <v>0</v>
      </c>
      <c r="F227" s="168">
        <f t="shared" si="170"/>
        <v>0</v>
      </c>
      <c r="G227" s="168">
        <f t="shared" si="170"/>
        <v>0</v>
      </c>
      <c r="H227" s="168">
        <f t="shared" si="170"/>
        <v>0</v>
      </c>
      <c r="I227" s="168">
        <f t="shared" si="170"/>
        <v>0</v>
      </c>
      <c r="J227" s="168">
        <f t="shared" si="169"/>
        <v>0</v>
      </c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  <c r="AA227" s="168"/>
    </row>
    <row r="228" spans="2:27" ht="45.75" customHeight="1" x14ac:dyDescent="0.25">
      <c r="B228" s="293" t="s">
        <v>381</v>
      </c>
      <c r="C228" s="168">
        <f t="shared" si="169"/>
        <v>0</v>
      </c>
      <c r="D228" s="168">
        <f t="shared" si="169"/>
        <v>0</v>
      </c>
      <c r="E228" s="168">
        <f t="shared" si="169"/>
        <v>0</v>
      </c>
      <c r="F228" s="168">
        <f t="shared" si="169"/>
        <v>0</v>
      </c>
      <c r="G228" s="168">
        <f t="shared" si="169"/>
        <v>0</v>
      </c>
      <c r="H228" s="168">
        <f t="shared" si="169"/>
        <v>0</v>
      </c>
      <c r="I228" s="168">
        <f t="shared" si="169"/>
        <v>0</v>
      </c>
      <c r="J228" s="168">
        <f t="shared" si="169"/>
        <v>0</v>
      </c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</row>
    <row r="229" spans="2:27" ht="30" customHeight="1" x14ac:dyDescent="0.25">
      <c r="B229" s="144" t="s">
        <v>387</v>
      </c>
      <c r="C229" s="383"/>
      <c r="D229" s="383"/>
      <c r="E229" s="383"/>
      <c r="F229" s="383"/>
      <c r="G229" s="383"/>
      <c r="H229" s="383"/>
      <c r="I229" s="383"/>
      <c r="J229" s="383"/>
      <c r="K229" s="423"/>
      <c r="L229" s="423"/>
      <c r="M229" s="423"/>
      <c r="N229" s="423"/>
      <c r="O229" s="423"/>
      <c r="P229" s="423"/>
      <c r="Q229" s="423"/>
      <c r="R229" s="423"/>
      <c r="S229" s="423"/>
      <c r="T229" s="423"/>
      <c r="U229" s="423"/>
      <c r="V229" s="423"/>
      <c r="W229" s="423"/>
      <c r="X229" s="423"/>
      <c r="Y229" s="423"/>
      <c r="Z229" s="423"/>
      <c r="AA229" s="423"/>
    </row>
    <row r="230" spans="2:27" ht="30" customHeight="1" x14ac:dyDescent="0.25">
      <c r="B230" s="144" t="s">
        <v>101</v>
      </c>
      <c r="C230" s="383"/>
      <c r="D230" s="383"/>
      <c r="E230" s="383"/>
      <c r="F230" s="383"/>
      <c r="G230" s="383"/>
      <c r="H230" s="383"/>
      <c r="I230" s="383"/>
      <c r="J230" s="383"/>
      <c r="K230" s="383"/>
      <c r="L230" s="383"/>
      <c r="M230" s="383"/>
      <c r="N230" s="383"/>
      <c r="O230" s="383"/>
      <c r="P230" s="383"/>
      <c r="Q230" s="383"/>
      <c r="R230" s="383"/>
      <c r="S230" s="383"/>
      <c r="T230" s="383"/>
      <c r="U230" s="383"/>
      <c r="V230" s="383"/>
      <c r="W230" s="383"/>
      <c r="X230" s="383"/>
      <c r="Y230" s="383"/>
      <c r="Z230" s="383"/>
      <c r="AA230" s="383"/>
    </row>
    <row r="231" spans="2:27" ht="30" customHeight="1" x14ac:dyDescent="0.25">
      <c r="B231" s="15" t="s">
        <v>102</v>
      </c>
      <c r="C231" s="168">
        <f>SUM(C232:C234)</f>
        <v>0</v>
      </c>
      <c r="D231" s="168">
        <f t="shared" ref="D231:Z231" si="171">SUM(D232:D234)</f>
        <v>0</v>
      </c>
      <c r="E231" s="168">
        <f t="shared" si="171"/>
        <v>0</v>
      </c>
      <c r="F231" s="168">
        <f t="shared" si="171"/>
        <v>0</v>
      </c>
      <c r="G231" s="168">
        <f t="shared" si="171"/>
        <v>0</v>
      </c>
      <c r="H231" s="168">
        <f t="shared" si="171"/>
        <v>0</v>
      </c>
      <c r="I231" s="168">
        <f t="shared" si="171"/>
        <v>0</v>
      </c>
      <c r="J231" s="168">
        <f t="shared" si="171"/>
        <v>0</v>
      </c>
      <c r="K231" s="168">
        <f t="shared" si="171"/>
        <v>0</v>
      </c>
      <c r="L231" s="168">
        <f t="shared" si="171"/>
        <v>0</v>
      </c>
      <c r="M231" s="168">
        <f t="shared" si="171"/>
        <v>0</v>
      </c>
      <c r="N231" s="168">
        <f t="shared" si="171"/>
        <v>0</v>
      </c>
      <c r="O231" s="168">
        <f t="shared" si="171"/>
        <v>0</v>
      </c>
      <c r="P231" s="168">
        <f t="shared" si="171"/>
        <v>0</v>
      </c>
      <c r="Q231" s="168">
        <f t="shared" si="171"/>
        <v>0</v>
      </c>
      <c r="R231" s="168">
        <f t="shared" si="171"/>
        <v>0</v>
      </c>
      <c r="S231" s="168">
        <f t="shared" si="171"/>
        <v>0</v>
      </c>
      <c r="T231" s="168">
        <f t="shared" si="171"/>
        <v>0</v>
      </c>
      <c r="U231" s="168">
        <f t="shared" si="171"/>
        <v>0</v>
      </c>
      <c r="V231" s="168">
        <f t="shared" si="171"/>
        <v>0</v>
      </c>
      <c r="W231" s="168">
        <f t="shared" si="171"/>
        <v>0</v>
      </c>
      <c r="X231" s="168">
        <f t="shared" si="171"/>
        <v>0</v>
      </c>
      <c r="Y231" s="168">
        <f t="shared" si="171"/>
        <v>0</v>
      </c>
      <c r="Z231" s="168">
        <f t="shared" si="171"/>
        <v>0</v>
      </c>
      <c r="AA231" s="168">
        <f t="shared" ref="AA231" si="172">SUM(AA232:AA234)</f>
        <v>0</v>
      </c>
    </row>
    <row r="232" spans="2:27" ht="30" customHeight="1" x14ac:dyDescent="0.25">
      <c r="B232" s="145" t="s">
        <v>269</v>
      </c>
      <c r="C232" s="424"/>
      <c r="D232" s="424"/>
      <c r="E232" s="424"/>
      <c r="F232" s="424"/>
      <c r="G232" s="424"/>
      <c r="H232" s="424"/>
      <c r="I232" s="424"/>
      <c r="J232" s="424"/>
      <c r="K232" s="424"/>
      <c r="L232" s="424"/>
      <c r="M232" s="424"/>
      <c r="N232" s="424"/>
      <c r="O232" s="424"/>
      <c r="P232" s="424"/>
      <c r="Q232" s="424"/>
      <c r="R232" s="424"/>
      <c r="S232" s="424"/>
      <c r="T232" s="424"/>
      <c r="U232" s="424"/>
      <c r="V232" s="424"/>
      <c r="W232" s="424"/>
      <c r="X232" s="424"/>
      <c r="Y232" s="424"/>
      <c r="Z232" s="424"/>
      <c r="AA232" s="424"/>
    </row>
    <row r="233" spans="2:27" ht="30" customHeight="1" x14ac:dyDescent="0.25">
      <c r="B233" s="146" t="s">
        <v>383</v>
      </c>
      <c r="C233" s="424"/>
      <c r="D233" s="424"/>
      <c r="E233" s="424"/>
      <c r="F233" s="424"/>
      <c r="G233" s="424"/>
      <c r="H233" s="424"/>
      <c r="I233" s="424"/>
      <c r="J233" s="424"/>
      <c r="K233" s="424"/>
      <c r="L233" s="424"/>
      <c r="M233" s="424"/>
      <c r="N233" s="424"/>
      <c r="O233" s="424"/>
      <c r="P233" s="424"/>
      <c r="Q233" s="424"/>
      <c r="R233" s="424"/>
      <c r="S233" s="424"/>
      <c r="T233" s="424"/>
      <c r="U233" s="424"/>
      <c r="V233" s="424"/>
      <c r="W233" s="424"/>
      <c r="X233" s="424"/>
      <c r="Y233" s="424"/>
      <c r="Z233" s="424"/>
      <c r="AA233" s="424"/>
    </row>
    <row r="234" spans="2:27" ht="30" customHeight="1" x14ac:dyDescent="0.25">
      <c r="B234" s="425" t="s">
        <v>103</v>
      </c>
      <c r="C234" s="424"/>
      <c r="D234" s="424"/>
      <c r="E234" s="424"/>
      <c r="F234" s="424"/>
      <c r="G234" s="424"/>
      <c r="H234" s="424"/>
      <c r="I234" s="424"/>
      <c r="J234" s="424"/>
      <c r="K234" s="424"/>
      <c r="L234" s="424"/>
      <c r="M234" s="424"/>
      <c r="N234" s="424"/>
      <c r="O234" s="424"/>
      <c r="P234" s="424"/>
      <c r="Q234" s="424"/>
      <c r="R234" s="424"/>
      <c r="S234" s="424"/>
      <c r="T234" s="424"/>
      <c r="U234" s="424"/>
      <c r="V234" s="424"/>
      <c r="W234" s="424"/>
      <c r="X234" s="424"/>
      <c r="Y234" s="424"/>
      <c r="Z234" s="424"/>
      <c r="AA234" s="424"/>
    </row>
    <row r="235" spans="2:27" ht="30" customHeight="1" x14ac:dyDescent="0.25">
      <c r="B235" s="147" t="s">
        <v>270</v>
      </c>
      <c r="C235" s="383"/>
      <c r="D235" s="383"/>
      <c r="E235" s="383"/>
      <c r="F235" s="383"/>
      <c r="G235" s="383"/>
      <c r="H235" s="383"/>
      <c r="I235" s="383"/>
      <c r="J235" s="383"/>
      <c r="K235" s="383"/>
      <c r="L235" s="383"/>
      <c r="M235" s="383"/>
      <c r="N235" s="383"/>
      <c r="O235" s="383"/>
      <c r="P235" s="383"/>
      <c r="Q235" s="383"/>
      <c r="R235" s="383"/>
      <c r="S235" s="383"/>
      <c r="T235" s="383"/>
      <c r="U235" s="383"/>
      <c r="V235" s="383"/>
      <c r="W235" s="383"/>
      <c r="X235" s="383"/>
      <c r="Y235" s="383"/>
      <c r="Z235" s="383"/>
      <c r="AA235" s="383"/>
    </row>
    <row r="236" spans="2:27" ht="30" customHeight="1" x14ac:dyDescent="0.25">
      <c r="B236" s="122" t="s">
        <v>382</v>
      </c>
      <c r="C236" s="169">
        <f>C226+C227++C228+C229+C230+C231+C235</f>
        <v>0</v>
      </c>
      <c r="D236" s="169">
        <f>D226+D227++D228+D229+D230+D231+D235</f>
        <v>0</v>
      </c>
      <c r="E236" s="169">
        <f t="shared" ref="E236:Z236" si="173">E226+E227++E228+E229+E230+E231+E235</f>
        <v>0</v>
      </c>
      <c r="F236" s="169">
        <f t="shared" si="173"/>
        <v>0</v>
      </c>
      <c r="G236" s="169">
        <f t="shared" si="173"/>
        <v>0</v>
      </c>
      <c r="H236" s="169">
        <f t="shared" si="173"/>
        <v>0</v>
      </c>
      <c r="I236" s="169">
        <f t="shared" si="173"/>
        <v>0</v>
      </c>
      <c r="J236" s="169">
        <f t="shared" si="173"/>
        <v>0</v>
      </c>
      <c r="K236" s="169">
        <f t="shared" si="173"/>
        <v>0</v>
      </c>
      <c r="L236" s="169">
        <f t="shared" si="173"/>
        <v>0</v>
      </c>
      <c r="M236" s="169">
        <f t="shared" si="173"/>
        <v>0</v>
      </c>
      <c r="N236" s="169">
        <f t="shared" si="173"/>
        <v>0</v>
      </c>
      <c r="O236" s="169">
        <f t="shared" si="173"/>
        <v>0</v>
      </c>
      <c r="P236" s="169">
        <f t="shared" si="173"/>
        <v>0</v>
      </c>
      <c r="Q236" s="169">
        <f t="shared" si="173"/>
        <v>0</v>
      </c>
      <c r="R236" s="169">
        <f t="shared" si="173"/>
        <v>0</v>
      </c>
      <c r="S236" s="169">
        <f t="shared" si="173"/>
        <v>0</v>
      </c>
      <c r="T236" s="169">
        <f t="shared" si="173"/>
        <v>0</v>
      </c>
      <c r="U236" s="169">
        <f t="shared" si="173"/>
        <v>0</v>
      </c>
      <c r="V236" s="169">
        <f t="shared" si="173"/>
        <v>0</v>
      </c>
      <c r="W236" s="169">
        <f t="shared" si="173"/>
        <v>0</v>
      </c>
      <c r="X236" s="169">
        <f t="shared" si="173"/>
        <v>0</v>
      </c>
      <c r="Y236" s="169">
        <f t="shared" si="173"/>
        <v>0</v>
      </c>
      <c r="Z236" s="169">
        <f t="shared" si="173"/>
        <v>0</v>
      </c>
      <c r="AA236" s="169">
        <f t="shared" ref="AA236" si="174">AA226+AA227++AA228+AA229+AA230+AA231+AA235</f>
        <v>0</v>
      </c>
    </row>
    <row r="237" spans="2:27" ht="30" customHeight="1" x14ac:dyDescent="0.25">
      <c r="B237" s="139" t="s">
        <v>271</v>
      </c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</row>
    <row r="238" spans="2:27" ht="30" customHeight="1" x14ac:dyDescent="0.25">
      <c r="B238" s="122" t="s">
        <v>384</v>
      </c>
      <c r="C238" s="168">
        <f>IF(Założenia_Predpoklady!C9=0,"",C236+C224+C219)</f>
        <v>0</v>
      </c>
      <c r="D238" s="168">
        <f>IF(Założenia_Predpoklady!D9=0,"",D236+D224+D219)</f>
        <v>0</v>
      </c>
      <c r="E238" s="168">
        <f>IF(Założenia_Predpoklady!E9=0,"",E236+E224+E219)</f>
        <v>0</v>
      </c>
      <c r="F238" s="168">
        <f>IF(Założenia_Predpoklady!F9=0,"",F236+F224+F219)</f>
        <v>0</v>
      </c>
      <c r="G238" s="168">
        <f>IF(Założenia_Predpoklady!G9=0,"",G236+G224+G219)</f>
        <v>0</v>
      </c>
      <c r="H238" s="168">
        <f>IF(Założenia_Predpoklady!H9=0,"",H236+H224+H219)</f>
        <v>0</v>
      </c>
      <c r="I238" s="168">
        <f>IF(Założenia_Predpoklady!I9=0,"",I236+I224+I219)</f>
        <v>0</v>
      </c>
      <c r="J238" s="168">
        <f>IF(Założenia_Predpoklady!J9=0,"",J236+J224+J219)</f>
        <v>0</v>
      </c>
      <c r="K238" s="168">
        <f>IF(Założenia_Predpoklady!K9=0,"",K236+K224+K219)</f>
        <v>0</v>
      </c>
      <c r="L238" s="168">
        <f>IF(Założenia_Predpoklady!L9=0,"",L236+L224+L219)</f>
        <v>0</v>
      </c>
      <c r="M238" s="168">
        <f>IF(Założenia_Predpoklady!M9=0,"",M236+M224+M219)</f>
        <v>0</v>
      </c>
      <c r="N238" s="168">
        <f>IF(Założenia_Predpoklady!N9=0,"",N236+N224+N219)</f>
        <v>0</v>
      </c>
      <c r="O238" s="168">
        <f>IF(Założenia_Predpoklady!O9=0,"",O236+O224+O219)</f>
        <v>0</v>
      </c>
      <c r="P238" s="168">
        <f>IF(Założenia_Predpoklady!P9=0,"",P236+P224+P219)</f>
        <v>0</v>
      </c>
      <c r="Q238" s="168">
        <f>IF(Założenia_Predpoklady!Q9=0,"",Q236+Q224+Q219)</f>
        <v>0</v>
      </c>
      <c r="R238" s="168">
        <f>IF(Założenia_Predpoklady!R9=0,"",R236+R224+R219)</f>
        <v>0</v>
      </c>
      <c r="S238" s="168">
        <f>IF(Założenia_Predpoklady!S9=0,"",S236+S224+S219)</f>
        <v>0</v>
      </c>
      <c r="T238" s="168">
        <f>IF(Założenia_Predpoklady!T9=0,"",T236+T224+T219)</f>
        <v>0</v>
      </c>
      <c r="U238" s="168">
        <f>IF(Założenia_Predpoklady!U9=0,"",U236+U224+U219)</f>
        <v>0</v>
      </c>
      <c r="V238" s="168">
        <f>IF(Założenia_Predpoklady!V9=0,"",V236+V224+V219)</f>
        <v>0</v>
      </c>
      <c r="W238" s="168">
        <f>IF(Założenia_Predpoklady!W9=0,"",W236+W224+W219)</f>
        <v>0</v>
      </c>
      <c r="X238" s="168">
        <f>IF(Założenia_Predpoklady!X9=0,"",X236+X224+X219)</f>
        <v>0</v>
      </c>
      <c r="Y238" s="168">
        <f>IF(Założenia_Predpoklady!Y9=0,"",Y236+Y224+Y219)</f>
        <v>0</v>
      </c>
      <c r="Z238" s="168">
        <f>IF(Założenia_Predpoklady!Z9=0,"",Z236+Z224+Z219)</f>
        <v>0</v>
      </c>
      <c r="AA238" s="168">
        <f>IF(Założenia_Predpoklady!AA9=0,"",AA236+AA224+AA219)</f>
        <v>0</v>
      </c>
    </row>
    <row r="239" spans="2:27" ht="30" customHeight="1" x14ac:dyDescent="0.25">
      <c r="B239" s="121" t="s">
        <v>272</v>
      </c>
      <c r="C239" s="168">
        <v>0</v>
      </c>
      <c r="D239" s="168">
        <f>IF(D215&gt;0,C240,0)</f>
        <v>0</v>
      </c>
      <c r="E239" s="168">
        <f t="shared" ref="E239:AA239" si="175">IF(E215&gt;0,D240,0)</f>
        <v>0</v>
      </c>
      <c r="F239" s="168">
        <f t="shared" si="175"/>
        <v>0</v>
      </c>
      <c r="G239" s="168">
        <f t="shared" si="175"/>
        <v>0</v>
      </c>
      <c r="H239" s="168">
        <f t="shared" si="175"/>
        <v>0</v>
      </c>
      <c r="I239" s="168">
        <f t="shared" si="175"/>
        <v>0</v>
      </c>
      <c r="J239" s="168">
        <f t="shared" si="175"/>
        <v>0</v>
      </c>
      <c r="K239" s="168">
        <f t="shared" si="175"/>
        <v>0</v>
      </c>
      <c r="L239" s="168">
        <f t="shared" si="175"/>
        <v>0</v>
      </c>
      <c r="M239" s="168">
        <f t="shared" si="175"/>
        <v>0</v>
      </c>
      <c r="N239" s="168">
        <f t="shared" si="175"/>
        <v>0</v>
      </c>
      <c r="O239" s="168">
        <f t="shared" si="175"/>
        <v>0</v>
      </c>
      <c r="P239" s="168">
        <f t="shared" si="175"/>
        <v>0</v>
      </c>
      <c r="Q239" s="168">
        <f t="shared" si="175"/>
        <v>0</v>
      </c>
      <c r="R239" s="168">
        <f t="shared" si="175"/>
        <v>0</v>
      </c>
      <c r="S239" s="168">
        <f t="shared" si="175"/>
        <v>0</v>
      </c>
      <c r="T239" s="168">
        <f t="shared" si="175"/>
        <v>0</v>
      </c>
      <c r="U239" s="168">
        <f t="shared" si="175"/>
        <v>0</v>
      </c>
      <c r="V239" s="168">
        <f t="shared" si="175"/>
        <v>0</v>
      </c>
      <c r="W239" s="168">
        <f t="shared" si="175"/>
        <v>0</v>
      </c>
      <c r="X239" s="168">
        <f t="shared" si="175"/>
        <v>0</v>
      </c>
      <c r="Y239" s="168">
        <f t="shared" si="175"/>
        <v>0</v>
      </c>
      <c r="Z239" s="168">
        <f t="shared" si="175"/>
        <v>0</v>
      </c>
      <c r="AA239" s="168">
        <f t="shared" si="175"/>
        <v>0</v>
      </c>
    </row>
    <row r="240" spans="2:27" ht="30" customHeight="1" x14ac:dyDescent="0.25">
      <c r="B240" s="121" t="s">
        <v>273</v>
      </c>
      <c r="C240" s="175">
        <f>IF(Założenia_Predpoklady!C9=0,"",C239+C238)</f>
        <v>0</v>
      </c>
      <c r="D240" s="175">
        <f>IF(Założenia_Predpoklady!D9=0,"",D239+D238)</f>
        <v>0</v>
      </c>
      <c r="E240" s="175">
        <f>IF(Założenia_Predpoklady!E9=0,"",E239+E238)</f>
        <v>0</v>
      </c>
      <c r="F240" s="175">
        <f>IF(Założenia_Predpoklady!F9=0,"",F239+F238)</f>
        <v>0</v>
      </c>
      <c r="G240" s="175">
        <f>IF(Założenia_Predpoklady!G9=0,"",G239+G238)</f>
        <v>0</v>
      </c>
      <c r="H240" s="175">
        <f>IF(Założenia_Predpoklady!H9=0,"",H239+H238)</f>
        <v>0</v>
      </c>
      <c r="I240" s="175">
        <f>IF(Założenia_Predpoklady!I9=0,"",I239+I238)</f>
        <v>0</v>
      </c>
      <c r="J240" s="175">
        <f>IF(Założenia_Predpoklady!J9=0,"",J239+J238)</f>
        <v>0</v>
      </c>
      <c r="K240" s="175">
        <f>IF(Założenia_Predpoklady!K9=0,"",K239+K238)</f>
        <v>0</v>
      </c>
      <c r="L240" s="175">
        <f>IF(Założenia_Predpoklady!L9=0,"",L239+L238)</f>
        <v>0</v>
      </c>
      <c r="M240" s="175">
        <f>IF(Założenia_Predpoklady!M9=0,"",M239+M238)</f>
        <v>0</v>
      </c>
      <c r="N240" s="175">
        <f>IF(Założenia_Predpoklady!N9=0,"",N239+N238)</f>
        <v>0</v>
      </c>
      <c r="O240" s="175">
        <f>IF(Założenia_Predpoklady!O9=0,"",O239+O238)</f>
        <v>0</v>
      </c>
      <c r="P240" s="175">
        <f>IF(Założenia_Predpoklady!P9=0,"",P239+P238)</f>
        <v>0</v>
      </c>
      <c r="Q240" s="175">
        <f>IF(Założenia_Predpoklady!Q9=0,"",Q239+Q238)</f>
        <v>0</v>
      </c>
      <c r="R240" s="175">
        <f>IF(Założenia_Predpoklady!R9=0,"",R239+R238)</f>
        <v>0</v>
      </c>
      <c r="S240" s="175">
        <f>IF(Założenia_Predpoklady!S9=0,"",S239+S238)</f>
        <v>0</v>
      </c>
      <c r="T240" s="175">
        <f>IF(Założenia_Predpoklady!T9=0,"",T239+T238)</f>
        <v>0</v>
      </c>
      <c r="U240" s="175">
        <f>IF(Założenia_Predpoklady!U9=0,"",U239+U238)</f>
        <v>0</v>
      </c>
      <c r="V240" s="175">
        <f>IF(Założenia_Predpoklady!V9=0,"",V239+V238)</f>
        <v>0</v>
      </c>
      <c r="W240" s="175">
        <f>IF(Założenia_Predpoklady!W9=0,"",W239+W238)</f>
        <v>0</v>
      </c>
      <c r="X240" s="175">
        <f>IF(Założenia_Predpoklady!X9=0,"",X239+X238)</f>
        <v>0</v>
      </c>
      <c r="Y240" s="175">
        <f>IF(Założenia_Predpoklady!Y9=0,"",Y239+Y238)</f>
        <v>0</v>
      </c>
      <c r="Z240" s="175">
        <f>IF(Założenia_Predpoklady!Z9=0,"",Z239+Z238)</f>
        <v>0</v>
      </c>
      <c r="AA240" s="175">
        <f>IF(Założenia_Predpoklady!AA9=0,"",AA239+AA238)</f>
        <v>0</v>
      </c>
    </row>
    <row r="241" spans="1:26" x14ac:dyDescent="0.25"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x14ac:dyDescent="0.25">
      <c r="A242" s="12"/>
      <c r="C242" s="19"/>
    </row>
    <row r="243" spans="1:26" x14ac:dyDescent="0.25">
      <c r="A243" s="12"/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</row>
    <row r="244" spans="1:26" x14ac:dyDescent="0.25">
      <c r="A244" s="67"/>
      <c r="B244" s="67"/>
      <c r="C244" s="82"/>
      <c r="D244" s="82"/>
      <c r="E244" s="82"/>
      <c r="F244" s="82"/>
      <c r="G244" s="82"/>
      <c r="H244" s="82"/>
      <c r="I244" s="82"/>
      <c r="J244" s="82"/>
      <c r="K244" s="82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spans="1:26" x14ac:dyDescent="0.25">
      <c r="A245" s="67"/>
      <c r="B245" s="67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 x14ac:dyDescent="0.25">
      <c r="A246" s="67"/>
      <c r="B246" s="67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 x14ac:dyDescent="0.25">
      <c r="A247" s="67"/>
      <c r="B247" s="67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 x14ac:dyDescent="0.25">
      <c r="A248" s="67"/>
      <c r="B248" s="67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 x14ac:dyDescent="0.25">
      <c r="A249" s="95"/>
      <c r="B249" s="95"/>
      <c r="C249" s="96"/>
      <c r="D249" s="97"/>
      <c r="E249" s="97"/>
      <c r="F249" s="97"/>
      <c r="G249" s="97"/>
      <c r="H249" s="97"/>
      <c r="I249" s="97"/>
      <c r="J249" s="97"/>
      <c r="K249" s="97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 x14ac:dyDescent="0.25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spans="1:26" x14ac:dyDescent="0.25">
      <c r="A251" s="95"/>
      <c r="B251" s="98"/>
      <c r="C251" s="99"/>
      <c r="D251" s="95"/>
      <c r="E251" s="95"/>
      <c r="F251" s="95"/>
      <c r="G251" s="95"/>
      <c r="H251" s="95"/>
      <c r="I251" s="95"/>
      <c r="J251" s="95"/>
      <c r="K251" s="95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spans="1:26" x14ac:dyDescent="0.25">
      <c r="A252" s="95"/>
      <c r="B252" s="98"/>
      <c r="C252" s="100"/>
      <c r="D252" s="95"/>
      <c r="E252" s="93"/>
      <c r="F252" s="93"/>
      <c r="G252" s="93"/>
      <c r="H252" s="93"/>
      <c r="I252" s="93"/>
      <c r="J252" s="95"/>
      <c r="K252" s="95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spans="1:26" x14ac:dyDescent="0.25">
      <c r="A253" s="95"/>
      <c r="B253" s="98"/>
      <c r="C253" s="100"/>
      <c r="D253" s="95"/>
      <c r="E253" s="93"/>
      <c r="F253" s="93"/>
      <c r="G253" s="93"/>
      <c r="H253" s="93"/>
      <c r="I253" s="93"/>
      <c r="J253" s="95"/>
      <c r="K253" s="95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spans="1:26" x14ac:dyDescent="0.25">
      <c r="A254" s="95"/>
      <c r="B254" s="98"/>
      <c r="C254" s="100"/>
      <c r="D254" s="95"/>
      <c r="E254" s="93"/>
      <c r="F254" s="93"/>
      <c r="G254" s="93"/>
      <c r="H254" s="93"/>
      <c r="I254" s="93"/>
      <c r="J254" s="95"/>
      <c r="K254" s="95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spans="1:26" x14ac:dyDescent="0.25">
      <c r="A255" s="95"/>
      <c r="B255" s="95"/>
      <c r="C255" s="95"/>
      <c r="D255" s="95"/>
      <c r="E255" s="94"/>
      <c r="F255" s="93"/>
      <c r="G255" s="93"/>
      <c r="H255" s="93"/>
      <c r="I255" s="93"/>
      <c r="J255" s="95"/>
      <c r="K255" s="95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spans="1:26" x14ac:dyDescent="0.25">
      <c r="A256" s="95"/>
      <c r="B256" s="95"/>
      <c r="C256" s="95"/>
      <c r="D256" s="95"/>
      <c r="E256" s="95"/>
      <c r="F256" s="93"/>
      <c r="G256" s="93"/>
      <c r="H256" s="93"/>
      <c r="I256" s="93"/>
      <c r="J256" s="93"/>
      <c r="K256" s="95"/>
      <c r="L256" s="83"/>
      <c r="M256" s="83"/>
      <c r="N256" s="83"/>
      <c r="O256" s="83"/>
      <c r="P256" s="83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spans="1:26" x14ac:dyDescent="0.25">
      <c r="A257" s="93"/>
      <c r="B257" s="95"/>
      <c r="C257" s="97"/>
      <c r="D257" s="97"/>
      <c r="E257" s="97"/>
      <c r="F257" s="97"/>
      <c r="G257" s="97"/>
      <c r="H257" s="97"/>
      <c r="I257" s="97"/>
      <c r="J257" s="97"/>
      <c r="K257" s="97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 x14ac:dyDescent="0.25">
      <c r="A258" s="93"/>
      <c r="B258" s="95"/>
      <c r="C258" s="97"/>
      <c r="D258" s="97"/>
      <c r="E258" s="97"/>
      <c r="F258" s="97"/>
      <c r="G258" s="97"/>
      <c r="H258" s="97"/>
      <c r="I258" s="97"/>
      <c r="J258" s="97"/>
      <c r="K258" s="97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 x14ac:dyDescent="0.25">
      <c r="A259" s="93"/>
      <c r="B259" s="95"/>
      <c r="C259" s="97"/>
      <c r="D259" s="97"/>
      <c r="E259" s="97"/>
      <c r="F259" s="97"/>
      <c r="G259" s="97"/>
      <c r="H259" s="97"/>
      <c r="I259" s="97"/>
      <c r="J259" s="97"/>
      <c r="K259" s="97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 x14ac:dyDescent="0.25">
      <c r="A260" s="93"/>
      <c r="B260" s="95"/>
      <c r="C260" s="97"/>
      <c r="D260" s="97"/>
      <c r="E260" s="97"/>
      <c r="F260" s="97"/>
      <c r="G260" s="97"/>
      <c r="H260" s="97"/>
      <c r="I260" s="97"/>
      <c r="J260" s="97"/>
      <c r="K260" s="97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 x14ac:dyDescent="0.25">
      <c r="A261" s="93"/>
      <c r="B261" s="95"/>
      <c r="C261" s="97"/>
      <c r="D261" s="97"/>
      <c r="E261" s="97"/>
      <c r="F261" s="97"/>
      <c r="G261" s="97"/>
      <c r="H261" s="97"/>
      <c r="I261" s="97"/>
      <c r="J261" s="97"/>
      <c r="K261" s="97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 x14ac:dyDescent="0.25">
      <c r="A262" s="516"/>
      <c r="B262" s="516"/>
      <c r="C262" s="101"/>
      <c r="D262" s="101"/>
      <c r="E262" s="95"/>
      <c r="F262" s="95"/>
      <c r="G262" s="95"/>
      <c r="H262" s="95"/>
      <c r="I262" s="95"/>
      <c r="J262" s="95"/>
      <c r="K262" s="95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spans="1:26" x14ac:dyDescent="0.25">
      <c r="A263" s="93"/>
      <c r="B263" s="95"/>
      <c r="C263" s="102"/>
      <c r="D263" s="103"/>
      <c r="E263" s="93"/>
      <c r="F263" s="95"/>
      <c r="G263" s="95"/>
      <c r="H263" s="95"/>
      <c r="I263" s="95"/>
      <c r="J263" s="95"/>
      <c r="K263" s="95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spans="1:26" x14ac:dyDescent="0.25">
      <c r="A264" s="93"/>
      <c r="B264" s="95"/>
      <c r="C264" s="102"/>
      <c r="D264" s="103"/>
      <c r="E264" s="93"/>
      <c r="F264" s="95"/>
      <c r="G264" s="95"/>
      <c r="H264" s="95"/>
      <c r="I264" s="95"/>
      <c r="J264" s="95"/>
      <c r="K264" s="95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spans="1:26" x14ac:dyDescent="0.25">
      <c r="A265" s="93"/>
      <c r="B265" s="95"/>
      <c r="C265" s="102"/>
      <c r="D265" s="103"/>
      <c r="E265" s="93"/>
      <c r="F265" s="95"/>
      <c r="G265" s="95"/>
      <c r="H265" s="95"/>
      <c r="I265" s="95"/>
      <c r="J265" s="95"/>
      <c r="K265" s="95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spans="1:26" x14ac:dyDescent="0.25">
      <c r="A266" s="93"/>
      <c r="B266" s="95"/>
      <c r="C266" s="102"/>
      <c r="D266" s="103"/>
      <c r="E266" s="93"/>
      <c r="F266" s="95"/>
      <c r="G266" s="95"/>
      <c r="H266" s="95"/>
      <c r="I266" s="95"/>
      <c r="J266" s="95"/>
      <c r="K266" s="95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spans="1:26" x14ac:dyDescent="0.25">
      <c r="A267" s="93"/>
      <c r="B267" s="95"/>
      <c r="C267" s="102"/>
      <c r="D267" s="103"/>
      <c r="E267" s="93"/>
      <c r="F267" s="95"/>
      <c r="G267" s="95"/>
      <c r="H267" s="95"/>
      <c r="I267" s="95"/>
      <c r="J267" s="95"/>
      <c r="K267" s="95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spans="1:26" x14ac:dyDescent="0.25">
      <c r="A268" s="9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spans="1:26" x14ac:dyDescent="0.25">
      <c r="A269" s="9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spans="1:26" x14ac:dyDescent="0.25">
      <c r="A270" s="93"/>
      <c r="B270" s="95"/>
      <c r="C270" s="97"/>
      <c r="D270" s="97"/>
      <c r="E270" s="97"/>
      <c r="F270" s="97"/>
      <c r="G270" s="97"/>
      <c r="H270" s="97"/>
      <c r="I270" s="97"/>
      <c r="J270" s="97"/>
      <c r="K270" s="97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 x14ac:dyDescent="0.25">
      <c r="A271" s="93"/>
      <c r="B271" s="95"/>
      <c r="C271" s="97"/>
      <c r="D271" s="97"/>
      <c r="E271" s="97"/>
      <c r="F271" s="97"/>
      <c r="G271" s="97"/>
      <c r="H271" s="97"/>
      <c r="I271" s="97"/>
      <c r="J271" s="97"/>
      <c r="K271" s="97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 x14ac:dyDescent="0.25">
      <c r="A272" s="93"/>
      <c r="B272" s="95"/>
      <c r="C272" s="97"/>
      <c r="D272" s="97"/>
      <c r="E272" s="97"/>
      <c r="F272" s="97"/>
      <c r="G272" s="97"/>
      <c r="H272" s="97"/>
      <c r="I272" s="97"/>
      <c r="J272" s="97"/>
      <c r="K272" s="97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 x14ac:dyDescent="0.25">
      <c r="A273" s="93"/>
      <c r="B273" s="95"/>
      <c r="C273" s="97"/>
      <c r="D273" s="97"/>
      <c r="E273" s="97"/>
      <c r="F273" s="97"/>
      <c r="G273" s="97"/>
      <c r="H273" s="97"/>
      <c r="I273" s="97"/>
      <c r="J273" s="97"/>
      <c r="K273" s="97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 x14ac:dyDescent="0.25">
      <c r="A274" s="93"/>
      <c r="B274" s="95"/>
      <c r="C274" s="97"/>
      <c r="D274" s="97"/>
      <c r="E274" s="97"/>
      <c r="F274" s="97"/>
      <c r="G274" s="97"/>
      <c r="H274" s="97"/>
      <c r="I274" s="97"/>
      <c r="J274" s="97"/>
      <c r="K274" s="97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 x14ac:dyDescent="0.25">
      <c r="A275" s="516"/>
      <c r="B275" s="516"/>
      <c r="C275" s="101"/>
      <c r="D275" s="101"/>
      <c r="E275" s="95"/>
      <c r="F275" s="95"/>
      <c r="G275" s="95"/>
      <c r="H275" s="95"/>
      <c r="I275" s="95"/>
      <c r="J275" s="95"/>
      <c r="K275" s="95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spans="1:26" x14ac:dyDescent="0.25">
      <c r="A276" s="93"/>
      <c r="B276" s="95"/>
      <c r="C276" s="102"/>
      <c r="D276" s="103"/>
      <c r="E276" s="93"/>
      <c r="F276" s="95"/>
      <c r="G276" s="95"/>
      <c r="H276" s="95"/>
      <c r="I276" s="95"/>
      <c r="J276" s="95"/>
      <c r="K276" s="95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spans="1:26" x14ac:dyDescent="0.25">
      <c r="A277" s="93"/>
      <c r="B277" s="95"/>
      <c r="C277" s="102"/>
      <c r="D277" s="103"/>
      <c r="E277" s="93"/>
      <c r="F277" s="95"/>
      <c r="G277" s="95"/>
      <c r="H277" s="95"/>
      <c r="I277" s="95"/>
      <c r="J277" s="95"/>
      <c r="K277" s="95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spans="1:26" x14ac:dyDescent="0.25">
      <c r="A278" s="93"/>
      <c r="B278" s="95"/>
      <c r="C278" s="102"/>
      <c r="D278" s="103"/>
      <c r="E278" s="93"/>
      <c r="F278" s="95"/>
      <c r="G278" s="95"/>
      <c r="H278" s="95"/>
      <c r="I278" s="95"/>
      <c r="J278" s="95"/>
      <c r="K278" s="95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spans="1:26" x14ac:dyDescent="0.25">
      <c r="A279" s="93"/>
      <c r="B279" s="95"/>
      <c r="C279" s="102"/>
      <c r="D279" s="103"/>
      <c r="E279" s="93"/>
      <c r="F279" s="95"/>
      <c r="G279" s="95"/>
      <c r="H279" s="95"/>
      <c r="I279" s="95"/>
      <c r="J279" s="95"/>
      <c r="K279" s="95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spans="1:26" x14ac:dyDescent="0.25">
      <c r="A280" s="93"/>
      <c r="B280" s="95"/>
      <c r="C280" s="102"/>
      <c r="D280" s="103"/>
      <c r="E280" s="93"/>
      <c r="F280" s="95"/>
      <c r="G280" s="95"/>
      <c r="H280" s="95"/>
      <c r="I280" s="95"/>
      <c r="J280" s="95"/>
      <c r="K280" s="95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spans="1:26" x14ac:dyDescent="0.25">
      <c r="A281" s="9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spans="1:26" x14ac:dyDescent="0.25">
      <c r="A282" s="9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spans="1:26" x14ac:dyDescent="0.25">
      <c r="A283" s="93"/>
      <c r="B283" s="95"/>
      <c r="C283" s="97"/>
      <c r="D283" s="97"/>
      <c r="E283" s="97"/>
      <c r="F283" s="97"/>
      <c r="G283" s="97"/>
      <c r="H283" s="97"/>
      <c r="I283" s="97"/>
      <c r="J283" s="97"/>
      <c r="K283" s="97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 x14ac:dyDescent="0.25">
      <c r="A284" s="93"/>
      <c r="B284" s="95"/>
      <c r="C284" s="97"/>
      <c r="D284" s="97"/>
      <c r="E284" s="97"/>
      <c r="F284" s="97"/>
      <c r="G284" s="97"/>
      <c r="H284" s="97"/>
      <c r="I284" s="97"/>
      <c r="J284" s="97"/>
      <c r="K284" s="97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 x14ac:dyDescent="0.25">
      <c r="A285" s="93"/>
      <c r="B285" s="95"/>
      <c r="C285" s="97"/>
      <c r="D285" s="97"/>
      <c r="E285" s="97"/>
      <c r="F285" s="97"/>
      <c r="G285" s="97"/>
      <c r="H285" s="97"/>
      <c r="I285" s="97"/>
      <c r="J285" s="97"/>
      <c r="K285" s="97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 x14ac:dyDescent="0.25">
      <c r="A286" s="93"/>
      <c r="B286" s="95"/>
      <c r="C286" s="97"/>
      <c r="D286" s="97"/>
      <c r="E286" s="97"/>
      <c r="F286" s="97"/>
      <c r="G286" s="97"/>
      <c r="H286" s="97"/>
      <c r="I286" s="97"/>
      <c r="J286" s="97"/>
      <c r="K286" s="97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 x14ac:dyDescent="0.25">
      <c r="A287" s="93"/>
      <c r="B287" s="95"/>
      <c r="C287" s="97"/>
      <c r="D287" s="97"/>
      <c r="E287" s="97"/>
      <c r="F287" s="97"/>
      <c r="G287" s="97"/>
      <c r="H287" s="97"/>
      <c r="I287" s="97"/>
      <c r="J287" s="97"/>
      <c r="K287" s="97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 x14ac:dyDescent="0.25">
      <c r="A288" s="516"/>
      <c r="B288" s="516"/>
      <c r="C288" s="101"/>
      <c r="D288" s="101"/>
      <c r="E288" s="95"/>
      <c r="F288" s="95"/>
      <c r="G288" s="95"/>
      <c r="H288" s="95"/>
      <c r="I288" s="95"/>
      <c r="J288" s="95"/>
      <c r="K288" s="95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spans="1:26" x14ac:dyDescent="0.25">
      <c r="A289" s="93"/>
      <c r="B289" s="95"/>
      <c r="C289" s="102"/>
      <c r="D289" s="103"/>
      <c r="E289" s="93"/>
      <c r="F289" s="95"/>
      <c r="G289" s="95"/>
      <c r="H289" s="95"/>
      <c r="I289" s="95"/>
      <c r="J289" s="95"/>
      <c r="K289" s="95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spans="1:26" x14ac:dyDescent="0.25">
      <c r="A290" s="93"/>
      <c r="B290" s="95"/>
      <c r="C290" s="102"/>
      <c r="D290" s="103"/>
      <c r="E290" s="93"/>
      <c r="F290" s="95"/>
      <c r="G290" s="95"/>
      <c r="H290" s="95"/>
      <c r="I290" s="95"/>
      <c r="J290" s="95"/>
      <c r="K290" s="95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spans="1:26" x14ac:dyDescent="0.25">
      <c r="A291" s="93"/>
      <c r="B291" s="95"/>
      <c r="C291" s="102"/>
      <c r="D291" s="103"/>
      <c r="E291" s="93"/>
      <c r="F291" s="95"/>
      <c r="G291" s="95"/>
      <c r="H291" s="95"/>
      <c r="I291" s="95"/>
      <c r="J291" s="95"/>
      <c r="K291" s="95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spans="1:26" x14ac:dyDescent="0.25">
      <c r="A292" s="93"/>
      <c r="B292" s="95"/>
      <c r="C292" s="102"/>
      <c r="D292" s="103"/>
      <c r="E292" s="93"/>
      <c r="F292" s="95"/>
      <c r="G292" s="95"/>
      <c r="H292" s="95"/>
      <c r="I292" s="95"/>
      <c r="J292" s="95"/>
      <c r="K292" s="95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spans="1:26" x14ac:dyDescent="0.25">
      <c r="A293" s="93"/>
      <c r="B293" s="95"/>
      <c r="C293" s="102"/>
      <c r="D293" s="103"/>
      <c r="E293" s="93"/>
      <c r="F293" s="95"/>
      <c r="G293" s="95"/>
      <c r="H293" s="95"/>
      <c r="I293" s="95"/>
      <c r="J293" s="95"/>
      <c r="K293" s="95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spans="1:26" x14ac:dyDescent="0.25">
      <c r="A294" s="9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spans="1:26" x14ac:dyDescent="0.25">
      <c r="A295" s="9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spans="1:26" x14ac:dyDescent="0.25">
      <c r="A296" s="9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spans="1:26" x14ac:dyDescent="0.25">
      <c r="A297" s="9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spans="1:26" x14ac:dyDescent="0.25">
      <c r="A298" s="9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spans="1:26" x14ac:dyDescent="0.25">
      <c r="A299" s="9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spans="1:26" x14ac:dyDescent="0.25">
      <c r="A300" s="9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spans="1:26" x14ac:dyDescent="0.25">
      <c r="A301" s="9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spans="1:26" x14ac:dyDescent="0.25">
      <c r="A302" s="9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spans="1:26" x14ac:dyDescent="0.25">
      <c r="A303" s="9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spans="1:26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</sheetData>
  <sheetProtection sheet="1" objects="1" scenarios="1" formatCells="0" formatColumns="0" formatRows="0" insertRows="0" deleteRows="0" selectLockedCells="1"/>
  <mergeCells count="42">
    <mergeCell ref="B131:D131"/>
    <mergeCell ref="B127:F127"/>
    <mergeCell ref="G127:L127"/>
    <mergeCell ref="C94:G94"/>
    <mergeCell ref="A109:A112"/>
    <mergeCell ref="A113:A116"/>
    <mergeCell ref="A117:A120"/>
    <mergeCell ref="A97:A100"/>
    <mergeCell ref="A101:A104"/>
    <mergeCell ref="A105:A108"/>
    <mergeCell ref="A288:B288"/>
    <mergeCell ref="A262:B262"/>
    <mergeCell ref="A275:B275"/>
    <mergeCell ref="D135:I135"/>
    <mergeCell ref="D168:I168"/>
    <mergeCell ref="D203:G204"/>
    <mergeCell ref="B164:D164"/>
    <mergeCell ref="B181:D181"/>
    <mergeCell ref="B137:D137"/>
    <mergeCell ref="B170:D170"/>
    <mergeCell ref="B212:F212"/>
    <mergeCell ref="G212:L212"/>
    <mergeCell ref="C155:E155"/>
    <mergeCell ref="B214:L214"/>
    <mergeCell ref="B195:D195"/>
    <mergeCell ref="B156:E156"/>
    <mergeCell ref="H77:Q77"/>
    <mergeCell ref="B186:E186"/>
    <mergeCell ref="K5:K6"/>
    <mergeCell ref="C1:K1"/>
    <mergeCell ref="C5:J5"/>
    <mergeCell ref="B5:B6"/>
    <mergeCell ref="C32:J32"/>
    <mergeCell ref="C47:J47"/>
    <mergeCell ref="C62:J62"/>
    <mergeCell ref="B77:F77"/>
    <mergeCell ref="D22:H22"/>
    <mergeCell ref="C30:K30"/>
    <mergeCell ref="B79:F79"/>
    <mergeCell ref="B80:F80"/>
    <mergeCell ref="G80:L80"/>
    <mergeCell ref="G79:L79"/>
  </mergeCells>
  <conditionalFormatting sqref="C215:AA240 C88:AA88">
    <cfRule type="cellIs" dxfId="45" priority="94" operator="equal">
      <formula>0</formula>
    </cfRule>
  </conditionalFormatting>
  <conditionalFormatting sqref="C96:AA96 C86:AA86">
    <cfRule type="cellIs" dxfId="44" priority="87" operator="equal">
      <formula>0</formula>
    </cfRule>
    <cfRule type="cellIs" dxfId="43" priority="88" operator="equal">
      <formula>0</formula>
    </cfRule>
  </conditionalFormatting>
  <conditionalFormatting sqref="C28:K28">
    <cfRule type="iconSet" priority="73">
      <iconSet>
        <cfvo type="percent" val="0"/>
        <cfvo type="percent" val="33"/>
        <cfvo type="percent" val="67"/>
      </iconSet>
    </cfRule>
    <cfRule type="iconSet" priority="74">
      <iconSet iconSet="3Symbols">
        <cfvo type="percent" val="0"/>
        <cfvo type="percent" val="33"/>
        <cfvo type="percent" val="67"/>
      </iconSet>
    </cfRule>
    <cfRule type="cellIs" dxfId="42" priority="83" operator="equal">
      <formula>0</formula>
    </cfRule>
  </conditionalFormatting>
  <conditionalFormatting sqref="K22:K23 B27 D22">
    <cfRule type="containsText" dxfId="41" priority="81" operator="containsText" text="Wnioskowane">
      <formula>NOT(ISERROR(SEARCH("Wnioskowane",B22)))</formula>
    </cfRule>
    <cfRule type="containsText" dxfId="40" priority="82" operator="containsText" text="Wnioskowane">
      <formula>NOT(ISERROR(SEARCH("Wnioskowane",B22)))</formula>
    </cfRule>
  </conditionalFormatting>
  <conditionalFormatting sqref="I22">
    <cfRule type="cellIs" dxfId="39" priority="76" operator="lessThan">
      <formula>$C$22</formula>
    </cfRule>
  </conditionalFormatting>
  <conditionalFormatting sqref="K22:K23 B27">
    <cfRule type="cellIs" dxfId="38" priority="75" operator="lessThan">
      <formula>$K$24</formula>
    </cfRule>
  </conditionalFormatting>
  <conditionalFormatting sqref="C82:AA85 E87:AA87">
    <cfRule type="cellIs" dxfId="37" priority="64" operator="lessThan">
      <formula>0.0001</formula>
    </cfRule>
    <cfRule type="cellIs" dxfId="36" priority="65" operator="lessThan">
      <formula>0.00001</formula>
    </cfRule>
  </conditionalFormatting>
  <conditionalFormatting sqref="C40:AA40 C55:AA55 C70:AA70">
    <cfRule type="cellIs" dxfId="35" priority="67" operator="lessThan">
      <formula>1</formula>
    </cfRule>
  </conditionalFormatting>
  <conditionalFormatting sqref="C70:AA75 C40:AA45 C55:AA60">
    <cfRule type="cellIs" dxfId="34" priority="66" operator="lessThan">
      <formula>0.00001</formula>
    </cfRule>
  </conditionalFormatting>
  <conditionalFormatting sqref="C187:AA187 C202:AA202 C206:AA206 C182:AA183 C96:AA96">
    <cfRule type="cellIs" dxfId="33" priority="62" operator="equal">
      <formula>0</formula>
    </cfRule>
  </conditionalFormatting>
  <conditionalFormatting sqref="C1:C2">
    <cfRule type="cellIs" dxfId="32" priority="61" operator="equal">
      <formula>0</formula>
    </cfRule>
  </conditionalFormatting>
  <conditionalFormatting sqref="C144:AA145">
    <cfRule type="cellIs" dxfId="31" priority="59" operator="equal">
      <formula>1</formula>
    </cfRule>
  </conditionalFormatting>
  <conditionalFormatting sqref="C147:AA148">
    <cfRule type="cellIs" dxfId="30" priority="58" operator="equal">
      <formula>1</formula>
    </cfRule>
  </conditionalFormatting>
  <conditionalFormatting sqref="D153:AA153 F153:AA156 C150:AA151 C153:E154">
    <cfRule type="cellIs" dxfId="29" priority="57" operator="equal">
      <formula>1</formula>
    </cfRule>
  </conditionalFormatting>
  <conditionalFormatting sqref="C23:J23">
    <cfRule type="cellIs" dxfId="28" priority="43" operator="greaterThan">
      <formula>2023</formula>
    </cfRule>
    <cfRule type="cellIs" dxfId="27" priority="51" operator="greaterThan">
      <formula>2025</formula>
    </cfRule>
  </conditionalFormatting>
  <conditionalFormatting sqref="C6:J6">
    <cfRule type="cellIs" dxfId="26" priority="44" operator="greaterThan">
      <formula>2023</formula>
    </cfRule>
    <cfRule type="containsText" dxfId="25" priority="46" operator="containsText" text=" ">
      <formula>NOT(ISERROR(SEARCH(" ",C6)))</formula>
    </cfRule>
  </conditionalFormatting>
  <conditionalFormatting sqref="C6:J6">
    <cfRule type="cellIs" dxfId="24" priority="45" operator="lessThan">
      <formula>2000</formula>
    </cfRule>
  </conditionalFormatting>
  <conditionalFormatting sqref="C33:J33 C48:J48 C63:J63">
    <cfRule type="cellIs" dxfId="23" priority="42" operator="greaterThan">
      <formula>2023</formula>
    </cfRule>
  </conditionalFormatting>
  <conditionalFormatting sqref="B77:F77">
    <cfRule type="containsText" dxfId="22" priority="23" operator="containsText" text="Uwaga!">
      <formula>NOT(ISERROR(SEARCH("Uwaga!",B77)))</formula>
    </cfRule>
  </conditionalFormatting>
  <conditionalFormatting sqref="C30 C94:K94">
    <cfRule type="containsText" dxfId="21" priority="21" operator="containsText" text="nie">
      <formula>NOT(ISERROR(SEARCH("nie",C30)))</formula>
    </cfRule>
  </conditionalFormatting>
  <conditionalFormatting sqref="C199:AA199">
    <cfRule type="cellIs" dxfId="20" priority="17" operator="equal">
      <formula>0</formula>
    </cfRule>
  </conditionalFormatting>
  <conditionalFormatting sqref="C199:AA199">
    <cfRule type="cellIs" dxfId="19" priority="16" operator="lessThan">
      <formula>0</formula>
    </cfRule>
  </conditionalFormatting>
  <conditionalFormatting sqref="G77">
    <cfRule type="cellIs" dxfId="18" priority="9" operator="lessThan">
      <formula>0</formula>
    </cfRule>
    <cfRule type="cellIs" dxfId="17" priority="10" operator="greaterThan">
      <formula>0</formula>
    </cfRule>
  </conditionalFormatting>
  <conditionalFormatting sqref="H77:Q77">
    <cfRule type="cellIs" dxfId="16" priority="2" operator="equal">
      <formula>0</formula>
    </cfRule>
    <cfRule type="containsText" dxfId="15" priority="8" operator="containsText" text="uwaga">
      <formula>NOT(ISERROR(SEARCH("uwaga",H77)))</formula>
    </cfRule>
  </conditionalFormatting>
  <conditionalFormatting sqref="B156:E156">
    <cfRule type="containsText" dxfId="14" priority="1" operator="containsText" text="Remont">
      <formula>NOT(ISERROR(SEARCH("Remont",B156)))</formula>
    </cfRule>
  </conditionalFormatting>
  <dataValidations xWindow="432" yWindow="525" count="14">
    <dataValidation type="decimal" allowBlank="1" showInputMessage="1" showErrorMessage="1" prompt="Podaj wartość (&lt;=wartości oszczędności)._x000a_Zadajte hodnotu (&lt;=hodnoty úsporov)." sqref="C198:AA198">
      <formula1>0</formula1>
      <formula2>C197</formula2>
    </dataValidation>
    <dataValidation type="list" allowBlank="1" showInputMessage="1" showErrorMessage="1" sqref="C252:C254">
      <formula1>$F$255:$I$255</formula1>
    </dataValidation>
    <dataValidation allowBlank="1" showInputMessage="1" showErrorMessage="1" prompt="Podaj wartość._x000a_Zadajte hodnotu." sqref="C188:AA192"/>
    <dataValidation type="decimal" operator="greaterThanOrEqual" allowBlank="1" showInputMessage="1" showErrorMessage="1" prompt="Podaj wartość._x000a_Zadajte hodnotu." sqref="C232:AA234 C13:J15 C8:J9 C171:C173 C25:J26 C138:C140">
      <formula1>0</formula1>
    </dataValidation>
    <dataValidation type="decimal" operator="lessThanOrEqual" allowBlank="1" showInputMessage="1" showErrorMessage="1" error="Spłata zobowiązań oznacza wydatek środków pieniężnych. Podaj wartość &lt;=0." prompt="Podaj wartość (&quot;-&quot;)._x000a_Zadajte hodnotu  (&quot;-&quot;)." sqref="C235:AA235 C230:AA230">
      <formula1>0</formula1>
    </dataValidation>
    <dataValidation type="decimal" operator="greaterThanOrEqual" allowBlank="1" showInputMessage="1" showErrorMessage="1" error="Zaciągnięcie kredytu oznacza wpływ środków pieniężnych. Podaj wartość &gt;=0." prompt="Podaj wartość (&quot;+&quot;)._x000a_Zadajte hodnotu  (&quot;+&quot;)." sqref="C229:AA229">
      <formula1>0</formula1>
    </dataValidation>
    <dataValidation operator="greaterThanOrEqual" allowBlank="1" showInputMessage="1" showErrorMessage="1" prompt="Podaj wartość._x000a_Zadajte hodnotu." sqref="C118:AA119 C98:AA99 C102:AA103 C106:AA107 C110:AA111 C114:AA115"/>
    <dataValidation type="whole" allowBlank="1" showInputMessage="1" showErrorMessage="1" error="Wpisz: &quot;0&quot; albo &quot;1&quot;._x000a_Zadajte: &quot;0&quot; alebo &quot;1&quot;." prompt="Wpisz &quot;1&quot;, jeśli w danym roku jest planowany remont._x000a_Zadajte &quot;1&quot;, ak v danom roku je plánovaná rekonštrukcia." sqref="C144:AA145 F155:AA156 C150:AA151 C147:AA148">
      <formula1>0</formula1>
      <formula2>1</formula2>
    </dataValidation>
    <dataValidation allowBlank="1" showInputMessage="1" showErrorMessage="1" prompt="Podaj nazwę._x000a_Zadajte názov." sqref="C62:J62 C32:J32 C47:J47"/>
    <dataValidation type="decimal" operator="greaterThanOrEqual" allowBlank="1" showInputMessage="1" showErrorMessage="1" prompt="Podaj wartość w roku zakończenia robót._x000a_Zadajte hodnotu v roku ukončenia stavby." sqref="C34:J34 C49:J49 C64:J64">
      <formula1>0</formula1>
    </dataValidation>
    <dataValidation type="decimal" allowBlank="1" showInputMessage="1" showErrorMessage="1" prompt="Podaj wartość (%)._x000a_Zadajte hodnotu (%)." sqref="C50 C65 C35">
      <formula1>0</formula1>
      <formula2>1</formula2>
    </dataValidation>
    <dataValidation allowBlank="1" showInputMessage="1" showErrorMessage="1" prompt="Wpisz wartość lub formułę._x000a_Zadajte hodnotu alebo vzorec." sqref="C120:AA120 C122:AA122 C100:AA100 C104:AA104 C108:AA108 C112:AA112 C116:AA116"/>
    <dataValidation type="decimal" operator="greaterThanOrEqual" allowBlank="1" showInputMessage="1" showErrorMessage="1" prompt="Podaj wartość (%) lub formułę obliczeń._x000a_Zadajte hodnotu (%) alebo vzorec výpočty." sqref="C22">
      <formula1>0</formula1>
    </dataValidation>
    <dataValidation allowBlank="1" showInputMessage="1" showErrorMessage="1" prompt="Podaj wartość lub formułę obliczeń._x000a_Zadajte hodnotu alebo vzorec výpočty." sqref="C24:J24"/>
  </dataValidations>
  <pageMargins left="0.7" right="0.7" top="0.75" bottom="0.75" header="0.3" footer="0.3"/>
  <pageSetup paperSize="9" scale="28" orientation="landscape" r:id="rId1"/>
  <rowBreaks count="3" manualBreakCount="3">
    <brk id="61" max="26" man="1"/>
    <brk id="128" max="26" man="1"/>
    <brk id="194" max="26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3" id="{58851E0D-B305-4F8C-B65B-116669E9729F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C28:K28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B111"/>
  <sheetViews>
    <sheetView showGridLines="0" view="pageBreakPreview" topLeftCell="A91" zoomScaleNormal="100" zoomScaleSheetLayoutView="100" workbookViewId="0">
      <selection activeCell="C59" sqref="C59"/>
    </sheetView>
  </sheetViews>
  <sheetFormatPr defaultRowHeight="15" x14ac:dyDescent="0.25"/>
  <cols>
    <col min="1" max="1" width="9.5703125" bestFit="1" customWidth="1"/>
    <col min="2" max="2" width="45.28515625" customWidth="1"/>
    <col min="3" max="28" width="15.7109375" customWidth="1"/>
  </cols>
  <sheetData>
    <row r="1" spans="1:28" ht="45" customHeight="1" x14ac:dyDescent="0.25">
      <c r="A1" s="537" t="s">
        <v>274</v>
      </c>
      <c r="B1" s="538"/>
      <c r="C1" s="499">
        <f>Założenia_Predpoklady!C1</f>
        <v>0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1"/>
    </row>
    <row r="3" spans="1:28" ht="30" customHeight="1" x14ac:dyDescent="0.25">
      <c r="A3" s="539" t="s">
        <v>104</v>
      </c>
      <c r="B3" s="539"/>
      <c r="C3" s="539"/>
    </row>
    <row r="4" spans="1:28" ht="90" customHeight="1" x14ac:dyDescent="0.25">
      <c r="A4" s="354" t="s">
        <v>213</v>
      </c>
      <c r="B4" s="371" t="s">
        <v>359</v>
      </c>
      <c r="C4" s="426">
        <v>0.85</v>
      </c>
    </row>
    <row r="6" spans="1:28" ht="30" customHeight="1" x14ac:dyDescent="0.25">
      <c r="A6" s="494" t="s">
        <v>275</v>
      </c>
      <c r="B6" s="494"/>
      <c r="C6" s="494"/>
    </row>
    <row r="7" spans="1:28" ht="30" x14ac:dyDescent="0.25">
      <c r="A7" s="25" t="s">
        <v>3</v>
      </c>
      <c r="B7" s="16" t="s">
        <v>105</v>
      </c>
      <c r="C7" s="74">
        <f>Dane_Dáta!K10</f>
        <v>0</v>
      </c>
    </row>
    <row r="8" spans="1:28" ht="30" x14ac:dyDescent="0.25">
      <c r="A8" s="25" t="s">
        <v>4</v>
      </c>
      <c r="B8" s="359" t="s">
        <v>371</v>
      </c>
      <c r="C8" s="74">
        <f>SUM(C15:AA15)</f>
        <v>0</v>
      </c>
    </row>
    <row r="9" spans="1:28" ht="30" x14ac:dyDescent="0.25">
      <c r="A9" s="25" t="s">
        <v>5</v>
      </c>
      <c r="B9" s="16" t="s">
        <v>350</v>
      </c>
      <c r="C9" s="74">
        <f>IF(SUM($C$20:$AA$20)&lt;0,0,$AB$20)</f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ht="60" x14ac:dyDescent="0.25">
      <c r="A10" s="25" t="s">
        <v>6</v>
      </c>
      <c r="B10" s="373" t="s">
        <v>360</v>
      </c>
      <c r="C10" s="75">
        <f>IFERROR((C8-C9)/C8,0)</f>
        <v>0</v>
      </c>
      <c r="AA10" s="66"/>
    </row>
    <row r="11" spans="1:28" ht="30" x14ac:dyDescent="0.25">
      <c r="B11" s="16" t="s">
        <v>214</v>
      </c>
      <c r="C11" s="74">
        <f>ROUNDDOWN(C14*$C$4,2)</f>
        <v>0</v>
      </c>
    </row>
    <row r="12" spans="1:28" ht="30" x14ac:dyDescent="0.25">
      <c r="B12" s="16" t="s">
        <v>215</v>
      </c>
      <c r="C12" s="75">
        <f>IFERROR(ROUND(C11/C7,4),0)</f>
        <v>0</v>
      </c>
    </row>
    <row r="13" spans="1:28" ht="3" customHeight="1" x14ac:dyDescent="0.25">
      <c r="A13" s="1"/>
      <c r="B13" s="427"/>
      <c r="C13" s="428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</row>
    <row r="14" spans="1:28" ht="3" customHeight="1" x14ac:dyDescent="0.25">
      <c r="A14" s="1"/>
      <c r="B14" s="429" t="s">
        <v>106</v>
      </c>
      <c r="C14" s="462">
        <f>C7*C10</f>
        <v>0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</row>
    <row r="15" spans="1:28" ht="3" customHeight="1" x14ac:dyDescent="0.25">
      <c r="A15" s="1"/>
      <c r="B15" s="386" t="s">
        <v>392</v>
      </c>
      <c r="C15" s="463">
        <f>ROUND((C24)*Założenia_Predpoklady!C10,2)</f>
        <v>0</v>
      </c>
      <c r="D15" s="463">
        <f>ROUND((D24)*Założenia_Predpoklady!D10,2)</f>
        <v>0</v>
      </c>
      <c r="E15" s="463">
        <f>ROUND((E24)*Założenia_Predpoklady!E10,2)</f>
        <v>0</v>
      </c>
      <c r="F15" s="463">
        <f>ROUND((F24)*Założenia_Predpoklady!F10,2)</f>
        <v>0</v>
      </c>
      <c r="G15" s="463">
        <f>ROUND((G24)*Założenia_Predpoklady!G10,2)</f>
        <v>0</v>
      </c>
      <c r="H15" s="463">
        <f>ROUND((H24)*Założenia_Predpoklady!H10,2)</f>
        <v>0</v>
      </c>
      <c r="I15" s="463">
        <f>ROUND((I24)*Założenia_Predpoklady!I10,2)</f>
        <v>0</v>
      </c>
      <c r="J15" s="463">
        <f>ROUND((J24)*Założenia_Predpoklady!J10,2)</f>
        <v>0</v>
      </c>
      <c r="K15" s="463">
        <f>ROUND((K24)*Założenia_Predpoklady!K10,2)</f>
        <v>0</v>
      </c>
      <c r="L15" s="463">
        <f>ROUND((L24)*Założenia_Predpoklady!L10,2)</f>
        <v>0</v>
      </c>
      <c r="M15" s="463">
        <f>ROUND((M24)*Założenia_Predpoklady!M10,2)</f>
        <v>0</v>
      </c>
      <c r="N15" s="463">
        <f>ROUND((N24)*Założenia_Predpoklady!N10,2)</f>
        <v>0</v>
      </c>
      <c r="O15" s="463">
        <f>ROUND((O24)*Założenia_Predpoklady!O10,2)</f>
        <v>0</v>
      </c>
      <c r="P15" s="463">
        <f>ROUND((P24)*Założenia_Predpoklady!P10,2)</f>
        <v>0</v>
      </c>
      <c r="Q15" s="463">
        <f>ROUND((Q24)*Założenia_Predpoklady!Q10,2)</f>
        <v>0</v>
      </c>
      <c r="R15" s="463">
        <f>ROUND((R24)*Założenia_Predpoklady!R10,2)</f>
        <v>0</v>
      </c>
      <c r="S15" s="463">
        <f>ROUND((S24)*Założenia_Predpoklady!S10,2)</f>
        <v>0</v>
      </c>
      <c r="T15" s="463">
        <f>ROUND((T24)*Założenia_Predpoklady!T10,2)</f>
        <v>0</v>
      </c>
      <c r="U15" s="463">
        <f>ROUND((U24)*Założenia_Predpoklady!U10,2)</f>
        <v>0</v>
      </c>
      <c r="V15" s="463">
        <f>ROUND((V24)*Założenia_Predpoklady!V10,2)</f>
        <v>0</v>
      </c>
      <c r="W15" s="463">
        <f>ROUND((W24)*Założenia_Predpoklady!W10,2)</f>
        <v>0</v>
      </c>
      <c r="X15" s="463">
        <f>ROUND((X24)*Założenia_Predpoklady!X10,2)</f>
        <v>0</v>
      </c>
      <c r="Y15" s="463">
        <f>ROUND((Y24)*Założenia_Predpoklady!Y10,2)</f>
        <v>0</v>
      </c>
      <c r="Z15" s="463">
        <f>ROUND((Z24)*Założenia_Predpoklady!Z10,2)</f>
        <v>0</v>
      </c>
      <c r="AA15" s="463">
        <f>ROUND((AA24)*Założenia_Predpoklady!AA10,2)</f>
        <v>0</v>
      </c>
      <c r="AB15" s="464" t="s">
        <v>393</v>
      </c>
    </row>
    <row r="16" spans="1:28" ht="3" customHeight="1" x14ac:dyDescent="0.25">
      <c r="A16" s="1"/>
      <c r="B16" s="386" t="s">
        <v>394</v>
      </c>
      <c r="C16" s="463">
        <f>Dane_Dáta!C206</f>
        <v>0</v>
      </c>
      <c r="D16" s="463">
        <f>Dane_Dáta!D206</f>
        <v>0</v>
      </c>
      <c r="E16" s="463">
        <f>Dane_Dáta!E206</f>
        <v>0</v>
      </c>
      <c r="F16" s="463">
        <f>Dane_Dáta!F206</f>
        <v>0</v>
      </c>
      <c r="G16" s="463">
        <f>Dane_Dáta!G206</f>
        <v>0</v>
      </c>
      <c r="H16" s="463">
        <f>Dane_Dáta!H206</f>
        <v>0</v>
      </c>
      <c r="I16" s="463">
        <f>Dane_Dáta!I206</f>
        <v>0</v>
      </c>
      <c r="J16" s="463">
        <f>Dane_Dáta!J206</f>
        <v>0</v>
      </c>
      <c r="K16" s="463">
        <f>Dane_Dáta!K206</f>
        <v>0</v>
      </c>
      <c r="L16" s="463">
        <f>Dane_Dáta!L206</f>
        <v>0</v>
      </c>
      <c r="M16" s="463">
        <f>Dane_Dáta!M206</f>
        <v>0</v>
      </c>
      <c r="N16" s="463">
        <f>Dane_Dáta!N206</f>
        <v>0</v>
      </c>
      <c r="O16" s="463">
        <f>Dane_Dáta!O206</f>
        <v>0</v>
      </c>
      <c r="P16" s="463">
        <f>Dane_Dáta!P206</f>
        <v>0</v>
      </c>
      <c r="Q16" s="463">
        <f>Dane_Dáta!Q206</f>
        <v>0</v>
      </c>
      <c r="R16" s="463">
        <f>Dane_Dáta!R206</f>
        <v>0</v>
      </c>
      <c r="S16" s="463">
        <f>Dane_Dáta!S206</f>
        <v>0</v>
      </c>
      <c r="T16" s="463">
        <f>Dane_Dáta!T206</f>
        <v>0</v>
      </c>
      <c r="U16" s="463">
        <f>Dane_Dáta!U206</f>
        <v>0</v>
      </c>
      <c r="V16" s="463">
        <f>Dane_Dáta!V206</f>
        <v>0</v>
      </c>
      <c r="W16" s="463">
        <f>Dane_Dáta!W206</f>
        <v>0</v>
      </c>
      <c r="X16" s="463">
        <f>Dane_Dáta!X206</f>
        <v>0</v>
      </c>
      <c r="Y16" s="463">
        <f>Dane_Dáta!Y206</f>
        <v>0</v>
      </c>
      <c r="Z16" s="463">
        <f>Dane_Dáta!Z206</f>
        <v>0</v>
      </c>
      <c r="AA16" s="463">
        <f>Dane_Dáta!AA206</f>
        <v>0</v>
      </c>
      <c r="AB16" s="465">
        <f>NPV(Założenia_Predpoklady!$C$7,D16:AA16)+C16</f>
        <v>0</v>
      </c>
    </row>
    <row r="17" spans="1:28" ht="3" customHeight="1" x14ac:dyDescent="0.25">
      <c r="A17" s="1"/>
      <c r="B17" s="466" t="s">
        <v>395</v>
      </c>
      <c r="C17" s="463">
        <f>IF(Dane_Dáta!$C$123&gt;0,Dane_Dáta!C122,0)</f>
        <v>0</v>
      </c>
      <c r="D17" s="463">
        <f>IF(Dane_Dáta!$C$123&gt;0,Dane_Dáta!D122,0)</f>
        <v>0</v>
      </c>
      <c r="E17" s="463">
        <f>IF(Dane_Dáta!$C$123&gt;0,Dane_Dáta!E122,0)</f>
        <v>0</v>
      </c>
      <c r="F17" s="463">
        <f>IF(Dane_Dáta!$C$123&gt;0,Dane_Dáta!F122,0)</f>
        <v>0</v>
      </c>
      <c r="G17" s="463">
        <f>IF(Dane_Dáta!$C$123&gt;0,Dane_Dáta!G122,0)</f>
        <v>0</v>
      </c>
      <c r="H17" s="463">
        <f>IF(Dane_Dáta!$C$123&gt;0,Dane_Dáta!H122,0)</f>
        <v>0</v>
      </c>
      <c r="I17" s="463">
        <f>IF(Dane_Dáta!$C$123&gt;0,Dane_Dáta!I122,0)</f>
        <v>0</v>
      </c>
      <c r="J17" s="463">
        <f>IF(Dane_Dáta!$C$123&gt;0,Dane_Dáta!J122,0)</f>
        <v>0</v>
      </c>
      <c r="K17" s="463">
        <f>IF(Dane_Dáta!$C$123&gt;0,Dane_Dáta!K122,0)</f>
        <v>0</v>
      </c>
      <c r="L17" s="463">
        <f>IF(Dane_Dáta!$C$123&gt;0,Dane_Dáta!L122,0)</f>
        <v>0</v>
      </c>
      <c r="M17" s="463">
        <f>IF(Dane_Dáta!$C$123&gt;0,Dane_Dáta!M122,0)</f>
        <v>0</v>
      </c>
      <c r="N17" s="463">
        <f>IF(Dane_Dáta!$C$123&gt;0,Dane_Dáta!N122,0)</f>
        <v>0</v>
      </c>
      <c r="O17" s="463">
        <f>IF(Dane_Dáta!$C$123&gt;0,Dane_Dáta!O122,0)</f>
        <v>0</v>
      </c>
      <c r="P17" s="463">
        <f>IF(Dane_Dáta!$C$123&gt;0,Dane_Dáta!P122,0)</f>
        <v>0</v>
      </c>
      <c r="Q17" s="463">
        <f>IF(Dane_Dáta!$C$123&gt;0,Dane_Dáta!Q122,0)</f>
        <v>0</v>
      </c>
      <c r="R17" s="463">
        <f>IF(Dane_Dáta!$C$123&gt;0,Dane_Dáta!R122,0)</f>
        <v>0</v>
      </c>
      <c r="S17" s="463">
        <f>IF(Dane_Dáta!$C$123&gt;0,Dane_Dáta!S122,0)</f>
        <v>0</v>
      </c>
      <c r="T17" s="463">
        <f>IF(Dane_Dáta!$C$123&gt;0,Dane_Dáta!T122,0)</f>
        <v>0</v>
      </c>
      <c r="U17" s="463">
        <f>IF(Dane_Dáta!$C$123&gt;0,Dane_Dáta!U122,0)</f>
        <v>0</v>
      </c>
      <c r="V17" s="463">
        <f>IF(Dane_Dáta!$C$123&gt;0,Dane_Dáta!V122,0)</f>
        <v>0</v>
      </c>
      <c r="W17" s="463">
        <f>IF(Dane_Dáta!$C$123&gt;0,Dane_Dáta!W122,0)</f>
        <v>0</v>
      </c>
      <c r="X17" s="463">
        <f>IF(Dane_Dáta!$C$123&gt;0,Dane_Dáta!X122,0)</f>
        <v>0</v>
      </c>
      <c r="Y17" s="463">
        <f>IF(Dane_Dáta!$C$123&gt;0,Dane_Dáta!Y122,0)</f>
        <v>0</v>
      </c>
      <c r="Z17" s="463">
        <f>IF(Dane_Dáta!$C$123&gt;0,Dane_Dáta!Z122,0)</f>
        <v>0</v>
      </c>
      <c r="AA17" s="463">
        <f>IF(Dane_Dáta!$C$123&gt;0,Dane_Dáta!AA122,0)</f>
        <v>0</v>
      </c>
      <c r="AB17" s="465">
        <f>NPV(Założenia_Predpoklady!$C$7,D17:AA17)+C17</f>
        <v>0</v>
      </c>
    </row>
    <row r="18" spans="1:28" ht="3" customHeight="1" x14ac:dyDescent="0.25">
      <c r="A18" s="1"/>
      <c r="B18" s="386" t="s">
        <v>396</v>
      </c>
      <c r="C18" s="463">
        <f>IF(Dane_Dáta!$C$123&gt;0,Dane_Dáta!C199,0)</f>
        <v>0</v>
      </c>
      <c r="D18" s="463">
        <f>IF(Dane_Dáta!$C$123&gt;0,Dane_Dáta!D199,0)</f>
        <v>0</v>
      </c>
      <c r="E18" s="463">
        <f>IF(Dane_Dáta!$C$123&gt;0,Dane_Dáta!E199,0)</f>
        <v>0</v>
      </c>
      <c r="F18" s="463">
        <f>IF(Dane_Dáta!$C$123&gt;0,Dane_Dáta!F199,0)</f>
        <v>0</v>
      </c>
      <c r="G18" s="463">
        <f>IF(Dane_Dáta!$C$123&gt;0,Dane_Dáta!G199,0)</f>
        <v>0</v>
      </c>
      <c r="H18" s="463">
        <f>IF(Dane_Dáta!$C$123&gt;0,Dane_Dáta!H199,0)</f>
        <v>0</v>
      </c>
      <c r="I18" s="463">
        <f>IF(Dane_Dáta!$C$123&gt;0,Dane_Dáta!I199,0)</f>
        <v>0</v>
      </c>
      <c r="J18" s="463">
        <f>IF(Dane_Dáta!$C$123&gt;0,Dane_Dáta!J199,0)</f>
        <v>0</v>
      </c>
      <c r="K18" s="463">
        <f>IF(Dane_Dáta!$C$123&gt;0,Dane_Dáta!K199,0)</f>
        <v>0</v>
      </c>
      <c r="L18" s="463">
        <f>IF(Dane_Dáta!$C$123&gt;0,Dane_Dáta!L199,0)</f>
        <v>0</v>
      </c>
      <c r="M18" s="463">
        <f>IF(Dane_Dáta!$C$123&gt;0,Dane_Dáta!M199,0)</f>
        <v>0</v>
      </c>
      <c r="N18" s="463">
        <f>IF(Dane_Dáta!$C$123&gt;0,Dane_Dáta!N199,0)</f>
        <v>0</v>
      </c>
      <c r="O18" s="463">
        <f>IF(Dane_Dáta!$C$123&gt;0,Dane_Dáta!O199,0)</f>
        <v>0</v>
      </c>
      <c r="P18" s="463">
        <f>IF(Dane_Dáta!$C$123&gt;0,Dane_Dáta!P199,0)</f>
        <v>0</v>
      </c>
      <c r="Q18" s="463">
        <f>IF(Dane_Dáta!$C$123&gt;0,Dane_Dáta!Q199,0)</f>
        <v>0</v>
      </c>
      <c r="R18" s="463">
        <f>IF(Dane_Dáta!$C$123&gt;0,Dane_Dáta!R199,0)</f>
        <v>0</v>
      </c>
      <c r="S18" s="463">
        <f>IF(Dane_Dáta!$C$123&gt;0,Dane_Dáta!S199,0)</f>
        <v>0</v>
      </c>
      <c r="T18" s="463">
        <f>IF(Dane_Dáta!$C$123&gt;0,Dane_Dáta!T199,0)</f>
        <v>0</v>
      </c>
      <c r="U18" s="463">
        <f>IF(Dane_Dáta!$C$123&gt;0,Dane_Dáta!U199,0)</f>
        <v>0</v>
      </c>
      <c r="V18" s="463">
        <f>IF(Dane_Dáta!$C$123&gt;0,Dane_Dáta!V199,0)</f>
        <v>0</v>
      </c>
      <c r="W18" s="463">
        <f>IF(Dane_Dáta!$C$123&gt;0,Dane_Dáta!W199,0)</f>
        <v>0</v>
      </c>
      <c r="X18" s="463">
        <f>IF(Dane_Dáta!$C$123&gt;0,Dane_Dáta!X199,0)</f>
        <v>0</v>
      </c>
      <c r="Y18" s="463">
        <f>IF(Dane_Dáta!$C$123&gt;0,Dane_Dáta!Y199,0)</f>
        <v>0</v>
      </c>
      <c r="Z18" s="463">
        <f>IF(Dane_Dáta!$C$123&gt;0,Dane_Dáta!Z199,0)</f>
        <v>0</v>
      </c>
      <c r="AA18" s="463">
        <f>IF(Dane_Dáta!$C$123&gt;0,Dane_Dáta!AA199,0)</f>
        <v>0</v>
      </c>
      <c r="AB18" s="465">
        <f>NPV(Założenia_Predpoklady!$C$7,D18:AA18)+C18</f>
        <v>0</v>
      </c>
    </row>
    <row r="19" spans="1:28" ht="3" customHeight="1" x14ac:dyDescent="0.25">
      <c r="A19" s="1"/>
      <c r="B19" s="386" t="s">
        <v>397</v>
      </c>
      <c r="C19" s="463">
        <f>IF($AB$17+$AB$18-$AB$16&gt;0,Dane_Dáta!C84,0)</f>
        <v>0</v>
      </c>
      <c r="D19" s="463">
        <f>IF($AB$17+$AB$18-$AB$16&gt;0,Dane_Dáta!D84,0)</f>
        <v>0</v>
      </c>
      <c r="E19" s="463">
        <f>IF($AB$17+$AB$18-$AB$16&gt;0,Dane_Dáta!E84,0)</f>
        <v>0</v>
      </c>
      <c r="F19" s="463">
        <f>IF($AB$17+$AB$18-$AB$16&gt;0,Dane_Dáta!F84,0)</f>
        <v>0</v>
      </c>
      <c r="G19" s="463">
        <f>IF($AB$17+$AB$18-$AB$16&gt;0,Dane_Dáta!G84,0)</f>
        <v>0</v>
      </c>
      <c r="H19" s="463">
        <f>IF($AB$17+$AB$18-$AB$16&gt;0,Dane_Dáta!H84,0)</f>
        <v>0</v>
      </c>
      <c r="I19" s="463">
        <f>IF($AB$17+$AB$18-$AB$16&gt;0,Dane_Dáta!I84,0)</f>
        <v>0</v>
      </c>
      <c r="J19" s="463">
        <f>IF($AB$17+$AB$18-$AB$16&gt;0,Dane_Dáta!J84,0)</f>
        <v>0</v>
      </c>
      <c r="K19" s="463">
        <f>IF($AB$17+$AB$18-$AB$16&gt;0,Dane_Dáta!K84,0)</f>
        <v>0</v>
      </c>
      <c r="L19" s="463">
        <f>IF($AB$17+$AB$18-$AB$16&gt;0,Dane_Dáta!L84,0)</f>
        <v>0</v>
      </c>
      <c r="M19" s="463">
        <f>IF($AB$17+$AB$18-$AB$16&gt;0,Dane_Dáta!M84,0)</f>
        <v>0</v>
      </c>
      <c r="N19" s="463">
        <f>IF($AB$17+$AB$18-$AB$16&gt;0,Dane_Dáta!N84,0)</f>
        <v>0</v>
      </c>
      <c r="O19" s="463">
        <f>IF($AB$17+$AB$18-$AB$16&gt;0,Dane_Dáta!O84,0)</f>
        <v>0</v>
      </c>
      <c r="P19" s="463">
        <f>IF($AB$17+$AB$18-$AB$16&gt;0,Dane_Dáta!P84,0)</f>
        <v>0</v>
      </c>
      <c r="Q19" s="463">
        <f>IF($AB$17+$AB$18-$AB$16&gt;0,Dane_Dáta!Q84,0)</f>
        <v>0</v>
      </c>
      <c r="R19" s="463">
        <f>IF($AB$17+$AB$18-$AB$16&gt;0,Dane_Dáta!R84,0)</f>
        <v>0</v>
      </c>
      <c r="S19" s="463">
        <f>IF($AB$17+$AB$18-$AB$16&gt;0,Dane_Dáta!S84,0)</f>
        <v>0</v>
      </c>
      <c r="T19" s="463">
        <f>IF($AB$17+$AB$18-$AB$16&gt;0,Dane_Dáta!T84,0)</f>
        <v>0</v>
      </c>
      <c r="U19" s="463">
        <f>IF($AB$17+$AB$18-$AB$16&gt;0,Dane_Dáta!U84,0)</f>
        <v>0</v>
      </c>
      <c r="V19" s="463">
        <f>IF($AB$17+$AB$18-$AB$16&gt;0,Dane_Dáta!V84,0)</f>
        <v>0</v>
      </c>
      <c r="W19" s="463">
        <f>IF($AB$17+$AB$18-$AB$16&gt;0,Dane_Dáta!W84,0)</f>
        <v>0</v>
      </c>
      <c r="X19" s="463">
        <f>IF($AB$17+$AB$18-$AB$16&gt;0,Dane_Dáta!X84,0)</f>
        <v>0</v>
      </c>
      <c r="Y19" s="463">
        <f>IF($AB$17+$AB$18-$AB$16&gt;0,Dane_Dáta!Y84,0)</f>
        <v>0</v>
      </c>
      <c r="Z19" s="463">
        <f>IF($AB$17+$AB$18-$AB$16&gt;0,Dane_Dáta!Z84,0)</f>
        <v>0</v>
      </c>
      <c r="AA19" s="463">
        <f>IF($AB$17+$AB$18-$AB$16&gt;0,Dane_Dáta!AA84,0)</f>
        <v>0</v>
      </c>
      <c r="AB19" s="465">
        <f>NPV(Założenia_Predpoklady!$C$7,D19:AA19)+C19</f>
        <v>0</v>
      </c>
    </row>
    <row r="20" spans="1:28" ht="3" customHeight="1" x14ac:dyDescent="0.25">
      <c r="A20" s="1"/>
      <c r="B20" s="386" t="s">
        <v>398</v>
      </c>
      <c r="C20" s="463">
        <f>ROUND(Założenia_Predpoklady!C10*(SUM('Wyniki_Výsledky '!C17:C19)-C16),2)</f>
        <v>0</v>
      </c>
      <c r="D20" s="463">
        <f>ROUND(Założenia_Predpoklady!D10*(SUM('Wyniki_Výsledky '!D17:D19)-D16),2)</f>
        <v>0</v>
      </c>
      <c r="E20" s="463">
        <f>ROUND(Założenia_Predpoklady!E10*(SUM('Wyniki_Výsledky '!E17:E19)-E16),2)</f>
        <v>0</v>
      </c>
      <c r="F20" s="463">
        <f>ROUND(Założenia_Predpoklady!F10*(SUM('Wyniki_Výsledky '!F17:F19)-F16),2)</f>
        <v>0</v>
      </c>
      <c r="G20" s="463">
        <f>ROUND(Założenia_Predpoklady!G10*(SUM('Wyniki_Výsledky '!G17:G19)-G16),2)</f>
        <v>0</v>
      </c>
      <c r="H20" s="463">
        <f>ROUND(Założenia_Predpoklady!H10*(SUM('Wyniki_Výsledky '!H17:H19)-H16),2)</f>
        <v>0</v>
      </c>
      <c r="I20" s="463">
        <f>ROUND(Założenia_Predpoklady!I10*(SUM('Wyniki_Výsledky '!I17:I19)-I16),2)</f>
        <v>0</v>
      </c>
      <c r="J20" s="463">
        <f>ROUND(Założenia_Predpoklady!J10*(SUM('Wyniki_Výsledky '!J17:J19)-J16),2)</f>
        <v>0</v>
      </c>
      <c r="K20" s="463">
        <f>ROUND(Założenia_Predpoklady!K10*(SUM('Wyniki_Výsledky '!K17:K19)-K16),2)</f>
        <v>0</v>
      </c>
      <c r="L20" s="463">
        <f>ROUND(Założenia_Predpoklady!L10*(SUM('Wyniki_Výsledky '!L17:L19)-L16),2)</f>
        <v>0</v>
      </c>
      <c r="M20" s="463">
        <f>ROUND(Założenia_Predpoklady!M10*(SUM('Wyniki_Výsledky '!M17:M19)-M16),2)</f>
        <v>0</v>
      </c>
      <c r="N20" s="463">
        <f>ROUND(Założenia_Predpoklady!N10*(SUM('Wyniki_Výsledky '!N17:N19)-N16),2)</f>
        <v>0</v>
      </c>
      <c r="O20" s="463">
        <f>ROUND(Założenia_Predpoklady!O10*(SUM('Wyniki_Výsledky '!O17:O19)-O16),2)</f>
        <v>0</v>
      </c>
      <c r="P20" s="463">
        <f>ROUND(Założenia_Predpoklady!P10*(SUM('Wyniki_Výsledky '!P17:P19)-P16),2)</f>
        <v>0</v>
      </c>
      <c r="Q20" s="463">
        <f>ROUND(Założenia_Predpoklady!Q10*(SUM('Wyniki_Výsledky '!Q17:Q19)-Q16),2)</f>
        <v>0</v>
      </c>
      <c r="R20" s="463">
        <f>ROUND(Założenia_Predpoklady!R10*(SUM('Wyniki_Výsledky '!R17:R19)-R16),2)</f>
        <v>0</v>
      </c>
      <c r="S20" s="463">
        <f>ROUND(Założenia_Predpoklady!S10*(SUM('Wyniki_Výsledky '!S17:S19)-S16),2)</f>
        <v>0</v>
      </c>
      <c r="T20" s="463">
        <f>ROUND(Założenia_Predpoklady!T10*(SUM('Wyniki_Výsledky '!T17:T19)-T16),2)</f>
        <v>0</v>
      </c>
      <c r="U20" s="463">
        <f>ROUND(Założenia_Predpoklady!U10*(SUM('Wyniki_Výsledky '!U17:U19)-U16),2)</f>
        <v>0</v>
      </c>
      <c r="V20" s="463">
        <f>ROUND(Założenia_Predpoklady!V10*(SUM('Wyniki_Výsledky '!V17:V19)-V16),2)</f>
        <v>0</v>
      </c>
      <c r="W20" s="463">
        <f>ROUND(Założenia_Predpoklady!W10*(SUM('Wyniki_Výsledky '!W17:W19)-W16),2)</f>
        <v>0</v>
      </c>
      <c r="X20" s="463">
        <f>ROUND(Założenia_Predpoklady!X10*(SUM('Wyniki_Výsledky '!X17:X19)-X16),2)</f>
        <v>0</v>
      </c>
      <c r="Y20" s="463">
        <f>ROUND(Założenia_Predpoklady!Y10*(SUM('Wyniki_Výsledky '!Y17:Y19)-Y16),2)</f>
        <v>0</v>
      </c>
      <c r="Z20" s="463">
        <f>ROUND(Założenia_Predpoklady!Z10*(SUM('Wyniki_Výsledky '!Z17:Z19)-Z16),2)</f>
        <v>0</v>
      </c>
      <c r="AA20" s="463">
        <f>ROUND(Założenia_Predpoklady!AA10*(SUM('Wyniki_Výsledky '!AA17:AA19)-AA16),2)</f>
        <v>0</v>
      </c>
      <c r="AB20" s="465">
        <f>SUM(AB17:AB19)-AB16</f>
        <v>0</v>
      </c>
    </row>
    <row r="21" spans="1:28" ht="3" customHeight="1" x14ac:dyDescent="0.25">
      <c r="B21" s="1"/>
      <c r="C21" s="69"/>
    </row>
    <row r="22" spans="1:28" ht="30" customHeight="1" x14ac:dyDescent="0.25">
      <c r="A22" s="539" t="s">
        <v>108</v>
      </c>
      <c r="B22" s="539"/>
      <c r="C22" s="539"/>
    </row>
    <row r="23" spans="1:28" ht="30" x14ac:dyDescent="0.25">
      <c r="A23" s="6"/>
      <c r="B23" s="261" t="s">
        <v>49</v>
      </c>
      <c r="C23" s="25">
        <f>Założenia_Predpoklady!C9</f>
        <v>2016</v>
      </c>
      <c r="D23" s="25">
        <f>Założenia_Predpoklady!D9</f>
        <v>2017</v>
      </c>
      <c r="E23" s="25">
        <f>Założenia_Predpoklady!E9</f>
        <v>2018</v>
      </c>
      <c r="F23" s="25">
        <f>Założenia_Predpoklady!F9</f>
        <v>2019</v>
      </c>
      <c r="G23" s="25">
        <f>Założenia_Predpoklady!G9</f>
        <v>2020</v>
      </c>
      <c r="H23" s="25">
        <f>Założenia_Predpoklady!H9</f>
        <v>2021</v>
      </c>
      <c r="I23" s="25">
        <f>Założenia_Predpoklady!I9</f>
        <v>2022</v>
      </c>
      <c r="J23" s="25">
        <f>Założenia_Predpoklady!J9</f>
        <v>2023</v>
      </c>
      <c r="K23" s="25">
        <f>Założenia_Predpoklady!K9</f>
        <v>2024</v>
      </c>
      <c r="L23" s="25">
        <f>Założenia_Predpoklady!L9</f>
        <v>2025</v>
      </c>
      <c r="M23" s="25">
        <f>Założenia_Predpoklady!M9</f>
        <v>2026</v>
      </c>
      <c r="N23" s="25">
        <f>Założenia_Predpoklady!N9</f>
        <v>2027</v>
      </c>
      <c r="O23" s="25">
        <f>Założenia_Predpoklady!O9</f>
        <v>2028</v>
      </c>
      <c r="P23" s="25">
        <f>Założenia_Predpoklady!P9</f>
        <v>2029</v>
      </c>
      <c r="Q23" s="25">
        <f>Założenia_Predpoklady!Q9</f>
        <v>2030</v>
      </c>
      <c r="R23" s="25">
        <f>Założenia_Predpoklady!R9</f>
        <v>2031</v>
      </c>
      <c r="S23" s="25">
        <f>Założenia_Predpoklady!S9</f>
        <v>2032</v>
      </c>
      <c r="T23" s="25">
        <f>Założenia_Predpoklady!T9</f>
        <v>2033</v>
      </c>
      <c r="U23" s="25">
        <f>Założenia_Predpoklady!U9</f>
        <v>2034</v>
      </c>
      <c r="V23" s="25">
        <f>Założenia_Predpoklady!V9</f>
        <v>2035</v>
      </c>
      <c r="W23" s="25">
        <f>Założenia_Predpoklady!W9</f>
        <v>2036</v>
      </c>
      <c r="X23" s="25">
        <f>Założenia_Predpoklady!X9</f>
        <v>2037</v>
      </c>
      <c r="Y23" s="25">
        <f>Założenia_Predpoklady!Y9</f>
        <v>2038</v>
      </c>
      <c r="Z23" s="25">
        <f>Założenia_Predpoklady!Z9</f>
        <v>2039</v>
      </c>
      <c r="AA23" s="25">
        <f>Założenia_Predpoklady!AA9</f>
        <v>2040</v>
      </c>
    </row>
    <row r="24" spans="1:28" ht="30" x14ac:dyDescent="0.25">
      <c r="B24" s="359" t="s">
        <v>371</v>
      </c>
      <c r="C24" s="162">
        <f>Dane_Dáta!C18-Dane_Dáta!C222</f>
        <v>0</v>
      </c>
      <c r="D24" s="162">
        <f>Dane_Dáta!D18-Dane_Dáta!D222</f>
        <v>0</v>
      </c>
      <c r="E24" s="162">
        <f>Dane_Dáta!E18-Dane_Dáta!E222</f>
        <v>0</v>
      </c>
      <c r="F24" s="162">
        <f>Dane_Dáta!F18-Dane_Dáta!F222</f>
        <v>0</v>
      </c>
      <c r="G24" s="162">
        <f>Dane_Dáta!G18-Dane_Dáta!G222</f>
        <v>0</v>
      </c>
      <c r="H24" s="162">
        <f>Dane_Dáta!H18-Dane_Dáta!H222</f>
        <v>0</v>
      </c>
      <c r="I24" s="162">
        <f>Dane_Dáta!I18-Dane_Dáta!I222</f>
        <v>0</v>
      </c>
      <c r="J24" s="162">
        <f>Dane_Dáta!J18-Dane_Dáta!J222</f>
        <v>0</v>
      </c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</row>
    <row r="25" spans="1:28" ht="30" x14ac:dyDescent="0.25">
      <c r="B25" s="359" t="s">
        <v>346</v>
      </c>
      <c r="C25" s="225">
        <f>Dane_Dáta!C122</f>
        <v>0</v>
      </c>
      <c r="D25" s="225">
        <f>Dane_Dáta!D122</f>
        <v>0</v>
      </c>
      <c r="E25" s="225">
        <f>Dane_Dáta!E122</f>
        <v>0</v>
      </c>
      <c r="F25" s="225">
        <f>Dane_Dáta!F122</f>
        <v>0</v>
      </c>
      <c r="G25" s="225">
        <f>Dane_Dáta!G122</f>
        <v>0</v>
      </c>
      <c r="H25" s="225">
        <f>Dane_Dáta!H122</f>
        <v>0</v>
      </c>
      <c r="I25" s="225">
        <f>Dane_Dáta!I122</f>
        <v>0</v>
      </c>
      <c r="J25" s="225">
        <f>Dane_Dáta!J122</f>
        <v>0</v>
      </c>
      <c r="K25" s="225">
        <f>Dane_Dáta!K122</f>
        <v>0</v>
      </c>
      <c r="L25" s="225">
        <f>Dane_Dáta!L122</f>
        <v>0</v>
      </c>
      <c r="M25" s="225">
        <f>Dane_Dáta!M122</f>
        <v>0</v>
      </c>
      <c r="N25" s="225">
        <f>Dane_Dáta!N122</f>
        <v>0</v>
      </c>
      <c r="O25" s="225">
        <f>Dane_Dáta!O122</f>
        <v>0</v>
      </c>
      <c r="P25" s="225">
        <f>Dane_Dáta!P122</f>
        <v>0</v>
      </c>
      <c r="Q25" s="225">
        <f>Dane_Dáta!Q122</f>
        <v>0</v>
      </c>
      <c r="R25" s="225">
        <f>Dane_Dáta!R122</f>
        <v>0</v>
      </c>
      <c r="S25" s="225">
        <f>Dane_Dáta!S122</f>
        <v>0</v>
      </c>
      <c r="T25" s="225">
        <f>Dane_Dáta!T122</f>
        <v>0</v>
      </c>
      <c r="U25" s="225">
        <f>Dane_Dáta!U122</f>
        <v>0</v>
      </c>
      <c r="V25" s="225">
        <f>Dane_Dáta!V122</f>
        <v>0</v>
      </c>
      <c r="W25" s="225">
        <f>Dane_Dáta!W122</f>
        <v>0</v>
      </c>
      <c r="X25" s="225">
        <f>Dane_Dáta!X122</f>
        <v>0</v>
      </c>
      <c r="Y25" s="225">
        <f>Dane_Dáta!Y122</f>
        <v>0</v>
      </c>
      <c r="Z25" s="225">
        <f>Dane_Dáta!Z122</f>
        <v>0</v>
      </c>
      <c r="AA25" s="162">
        <f>Dane_Dáta!AA122</f>
        <v>0</v>
      </c>
    </row>
    <row r="26" spans="1:28" ht="30" x14ac:dyDescent="0.25">
      <c r="B26" s="294" t="s">
        <v>109</v>
      </c>
      <c r="C26" s="227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4"/>
      <c r="AA26" s="224">
        <f>Dane_Dáta!AA84</f>
        <v>0</v>
      </c>
    </row>
    <row r="27" spans="1:28" ht="30" x14ac:dyDescent="0.25">
      <c r="B27" s="294" t="s">
        <v>95</v>
      </c>
      <c r="C27" s="226">
        <f>Dane_Dáta!C202</f>
        <v>0</v>
      </c>
      <c r="D27" s="226">
        <f>Dane_Dáta!D202</f>
        <v>0</v>
      </c>
      <c r="E27" s="226">
        <f>Dane_Dáta!E202</f>
        <v>0</v>
      </c>
      <c r="F27" s="226">
        <f>Dane_Dáta!F202</f>
        <v>0</v>
      </c>
      <c r="G27" s="226">
        <f>Dane_Dáta!G202</f>
        <v>0</v>
      </c>
      <c r="H27" s="226">
        <f>Dane_Dáta!H202</f>
        <v>0</v>
      </c>
      <c r="I27" s="226">
        <f>Dane_Dáta!I202</f>
        <v>0</v>
      </c>
      <c r="J27" s="226">
        <f>Dane_Dáta!J202</f>
        <v>0</v>
      </c>
      <c r="K27" s="226">
        <f>Dane_Dáta!K202</f>
        <v>0</v>
      </c>
      <c r="L27" s="226">
        <f>Dane_Dáta!L202</f>
        <v>0</v>
      </c>
      <c r="M27" s="226">
        <f>Dane_Dáta!M202</f>
        <v>0</v>
      </c>
      <c r="N27" s="226">
        <f>Dane_Dáta!N202</f>
        <v>0</v>
      </c>
      <c r="O27" s="226">
        <f>Dane_Dáta!O202</f>
        <v>0</v>
      </c>
      <c r="P27" s="226">
        <f>Dane_Dáta!P202</f>
        <v>0</v>
      </c>
      <c r="Q27" s="226">
        <f>Dane_Dáta!Q202</f>
        <v>0</v>
      </c>
      <c r="R27" s="226">
        <f>Dane_Dáta!R202</f>
        <v>0</v>
      </c>
      <c r="S27" s="226">
        <f>Dane_Dáta!S202</f>
        <v>0</v>
      </c>
      <c r="T27" s="226">
        <f>Dane_Dáta!T202</f>
        <v>0</v>
      </c>
      <c r="U27" s="226">
        <f>Dane_Dáta!U202</f>
        <v>0</v>
      </c>
      <c r="V27" s="226">
        <f>Dane_Dáta!V202</f>
        <v>0</v>
      </c>
      <c r="W27" s="226">
        <f>Dane_Dáta!W202</f>
        <v>0</v>
      </c>
      <c r="X27" s="226">
        <f>Dane_Dáta!X202</f>
        <v>0</v>
      </c>
      <c r="Y27" s="226">
        <f>Dane_Dáta!Y202</f>
        <v>0</v>
      </c>
      <c r="Z27" s="226">
        <f>Dane_Dáta!Z202</f>
        <v>0</v>
      </c>
      <c r="AA27" s="226">
        <f>Dane_Dáta!AA202</f>
        <v>0</v>
      </c>
    </row>
    <row r="28" spans="1:28" ht="30" x14ac:dyDescent="0.25">
      <c r="B28" s="294" t="s">
        <v>110</v>
      </c>
      <c r="C28" s="162">
        <f>IF(C23&gt;0,-C24+C25+C26-C27,0)</f>
        <v>0</v>
      </c>
      <c r="D28" s="162">
        <f t="shared" ref="D28:Z28" si="0">IF(D23&gt;0,-D24+D25+D26-D27,0)</f>
        <v>0</v>
      </c>
      <c r="E28" s="162">
        <f t="shared" si="0"/>
        <v>0</v>
      </c>
      <c r="F28" s="162">
        <f t="shared" si="0"/>
        <v>0</v>
      </c>
      <c r="G28" s="162">
        <f t="shared" si="0"/>
        <v>0</v>
      </c>
      <c r="H28" s="162">
        <f t="shared" si="0"/>
        <v>0</v>
      </c>
      <c r="I28" s="162">
        <f t="shared" si="0"/>
        <v>0</v>
      </c>
      <c r="J28" s="162">
        <f t="shared" si="0"/>
        <v>0</v>
      </c>
      <c r="K28" s="162">
        <f t="shared" si="0"/>
        <v>0</v>
      </c>
      <c r="L28" s="162">
        <f t="shared" si="0"/>
        <v>0</v>
      </c>
      <c r="M28" s="162">
        <f t="shared" si="0"/>
        <v>0</v>
      </c>
      <c r="N28" s="162">
        <f t="shared" si="0"/>
        <v>0</v>
      </c>
      <c r="O28" s="162">
        <f t="shared" si="0"/>
        <v>0</v>
      </c>
      <c r="P28" s="162">
        <f t="shared" si="0"/>
        <v>0</v>
      </c>
      <c r="Q28" s="162">
        <f t="shared" si="0"/>
        <v>0</v>
      </c>
      <c r="R28" s="162">
        <f t="shared" si="0"/>
        <v>0</v>
      </c>
      <c r="S28" s="162">
        <f t="shared" si="0"/>
        <v>0</v>
      </c>
      <c r="T28" s="162">
        <f t="shared" si="0"/>
        <v>0</v>
      </c>
      <c r="U28" s="162">
        <f t="shared" si="0"/>
        <v>0</v>
      </c>
      <c r="V28" s="162">
        <f t="shared" si="0"/>
        <v>0</v>
      </c>
      <c r="W28" s="162">
        <f t="shared" si="0"/>
        <v>0</v>
      </c>
      <c r="X28" s="162">
        <f t="shared" si="0"/>
        <v>0</v>
      </c>
      <c r="Y28" s="162">
        <f t="shared" si="0"/>
        <v>0</v>
      </c>
      <c r="Z28" s="162">
        <f t="shared" si="0"/>
        <v>0</v>
      </c>
      <c r="AA28" s="162">
        <f>IF(AA23&gt;0,-AA24+AA25+AA26-AA27,0)</f>
        <v>0</v>
      </c>
    </row>
    <row r="29" spans="1:28" ht="30" x14ac:dyDescent="0.25">
      <c r="B29" s="259" t="s">
        <v>36</v>
      </c>
      <c r="C29" s="26">
        <f>Założenia_Predpoklady!$C$7</f>
        <v>0.04</v>
      </c>
    </row>
    <row r="30" spans="1:28" ht="30" x14ac:dyDescent="0.25">
      <c r="B30" s="18" t="s">
        <v>276</v>
      </c>
      <c r="C30" s="31">
        <f>ROUND((NPV($C$29,D28:AA28)+C28),2)</f>
        <v>0</v>
      </c>
      <c r="D30" s="12"/>
      <c r="E30" s="12"/>
    </row>
    <row r="31" spans="1:28" x14ac:dyDescent="0.25">
      <c r="A31" s="1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X31" s="66"/>
    </row>
    <row r="32" spans="1:28" ht="30" customHeight="1" x14ac:dyDescent="0.25">
      <c r="A32" s="540" t="s">
        <v>354</v>
      </c>
      <c r="B32" s="540"/>
      <c r="C32" s="540"/>
      <c r="D32" s="35"/>
      <c r="E32" s="35"/>
      <c r="F32" s="1"/>
    </row>
    <row r="33" spans="1:27" x14ac:dyDescent="0.25">
      <c r="B33" s="30" t="s">
        <v>353</v>
      </c>
      <c r="C33" s="48" t="str">
        <f>IFERROR(IRR(C28:AA28,-0.5),"Brak możliwości obliczenia (wartość ujemna). 
Výpočet nemožný (záporné hodnoty).")</f>
        <v>Brak możliwości obliczenia (wartość ujemna). 
Výpočet nemožný (záporné hodnoty).</v>
      </c>
      <c r="D33" s="49"/>
      <c r="E33" s="49"/>
      <c r="F33" s="49"/>
      <c r="G33" s="50"/>
    </row>
    <row r="34" spans="1:27" x14ac:dyDescent="0.25">
      <c r="B34" s="33"/>
      <c r="C34" s="34"/>
      <c r="D34" s="34"/>
      <c r="E34" s="34"/>
    </row>
    <row r="35" spans="1:27" ht="30" customHeight="1" x14ac:dyDescent="0.25">
      <c r="A35" s="539" t="s">
        <v>111</v>
      </c>
      <c r="B35" s="539"/>
      <c r="C35" s="539"/>
    </row>
    <row r="36" spans="1:27" ht="30" x14ac:dyDescent="0.25">
      <c r="B36" s="261" t="s">
        <v>49</v>
      </c>
      <c r="C36" s="25">
        <f>Założenia_Predpoklady!C9</f>
        <v>2016</v>
      </c>
      <c r="D36" s="25">
        <f>Założenia_Predpoklady!D9</f>
        <v>2017</v>
      </c>
      <c r="E36" s="25">
        <f>Założenia_Predpoklady!E9</f>
        <v>2018</v>
      </c>
      <c r="F36" s="25">
        <f>Założenia_Predpoklady!F9</f>
        <v>2019</v>
      </c>
      <c r="G36" s="25">
        <f>Założenia_Predpoklady!G9</f>
        <v>2020</v>
      </c>
      <c r="H36" s="25">
        <f>Założenia_Predpoklady!H9</f>
        <v>2021</v>
      </c>
      <c r="I36" s="25">
        <f>Założenia_Predpoklady!I9</f>
        <v>2022</v>
      </c>
      <c r="J36" s="25">
        <f>Założenia_Predpoklady!J9</f>
        <v>2023</v>
      </c>
      <c r="K36" s="25">
        <f>Założenia_Predpoklady!K9</f>
        <v>2024</v>
      </c>
      <c r="L36" s="25">
        <f>Założenia_Predpoklady!L9</f>
        <v>2025</v>
      </c>
      <c r="M36" s="25">
        <f>Założenia_Predpoklady!M9</f>
        <v>2026</v>
      </c>
      <c r="N36" s="25">
        <f>Założenia_Predpoklady!N9</f>
        <v>2027</v>
      </c>
      <c r="O36" s="25">
        <f>Założenia_Predpoklady!O9</f>
        <v>2028</v>
      </c>
      <c r="P36" s="25">
        <f>Założenia_Predpoklady!P9</f>
        <v>2029</v>
      </c>
      <c r="Q36" s="25">
        <f>Założenia_Predpoklady!Q9</f>
        <v>2030</v>
      </c>
      <c r="R36" s="25">
        <f>Założenia_Predpoklady!R9</f>
        <v>2031</v>
      </c>
      <c r="S36" s="25">
        <f>Założenia_Predpoklady!S9</f>
        <v>2032</v>
      </c>
      <c r="T36" s="25">
        <f>Założenia_Predpoklady!T9</f>
        <v>2033</v>
      </c>
      <c r="U36" s="25">
        <f>Założenia_Predpoklady!U9</f>
        <v>2034</v>
      </c>
      <c r="V36" s="25">
        <f>Założenia_Predpoklady!V9</f>
        <v>2035</v>
      </c>
      <c r="W36" s="25">
        <f>Założenia_Predpoklady!W9</f>
        <v>2036</v>
      </c>
      <c r="X36" s="25">
        <f>Założenia_Predpoklady!X9</f>
        <v>2037</v>
      </c>
      <c r="Y36" s="25">
        <f>Założenia_Predpoklady!Y9</f>
        <v>2038</v>
      </c>
      <c r="Z36" s="25">
        <f>Założenia_Predpoklady!Z9</f>
        <v>2039</v>
      </c>
      <c r="AA36" s="25">
        <f>Założenia_Predpoklady!AA9</f>
        <v>2040</v>
      </c>
    </row>
    <row r="37" spans="1:27" ht="30" x14ac:dyDescent="0.25">
      <c r="B37" s="359" t="s">
        <v>346</v>
      </c>
      <c r="C37" s="4">
        <f>Dane_Dáta!C122</f>
        <v>0</v>
      </c>
      <c r="D37" s="4">
        <f>Dane_Dáta!D122</f>
        <v>0</v>
      </c>
      <c r="E37" s="4">
        <f>Dane_Dáta!E122</f>
        <v>0</v>
      </c>
      <c r="F37" s="4">
        <f>Dane_Dáta!F122</f>
        <v>0</v>
      </c>
      <c r="G37" s="4">
        <f>Dane_Dáta!G122</f>
        <v>0</v>
      </c>
      <c r="H37" s="4">
        <f>Dane_Dáta!H122</f>
        <v>0</v>
      </c>
      <c r="I37" s="4">
        <f>Dane_Dáta!I122</f>
        <v>0</v>
      </c>
      <c r="J37" s="4">
        <f>Dane_Dáta!J122</f>
        <v>0</v>
      </c>
      <c r="K37" s="4">
        <f>Dane_Dáta!K122</f>
        <v>0</v>
      </c>
      <c r="L37" s="4">
        <f>Dane_Dáta!L122</f>
        <v>0</v>
      </c>
      <c r="M37" s="4">
        <f>Dane_Dáta!M122</f>
        <v>0</v>
      </c>
      <c r="N37" s="4">
        <f>Dane_Dáta!N122</f>
        <v>0</v>
      </c>
      <c r="O37" s="4">
        <f>Dane_Dáta!O122</f>
        <v>0</v>
      </c>
      <c r="P37" s="4">
        <f>Dane_Dáta!P122</f>
        <v>0</v>
      </c>
      <c r="Q37" s="4">
        <f>Dane_Dáta!Q122</f>
        <v>0</v>
      </c>
      <c r="R37" s="4">
        <f>Dane_Dáta!R122</f>
        <v>0</v>
      </c>
      <c r="S37" s="4">
        <f>Dane_Dáta!S122</f>
        <v>0</v>
      </c>
      <c r="T37" s="4">
        <f>Dane_Dáta!T122</f>
        <v>0</v>
      </c>
      <c r="U37" s="4">
        <f>Dane_Dáta!U122</f>
        <v>0</v>
      </c>
      <c r="V37" s="4">
        <f>Dane_Dáta!V122</f>
        <v>0</v>
      </c>
      <c r="W37" s="4">
        <f>Dane_Dáta!W122</f>
        <v>0</v>
      </c>
      <c r="X37" s="4">
        <f>Dane_Dáta!X122</f>
        <v>0</v>
      </c>
      <c r="Y37" s="4">
        <f>Dane_Dáta!Y122</f>
        <v>0</v>
      </c>
      <c r="Z37" s="4">
        <f>Dane_Dáta!Z122</f>
        <v>0</v>
      </c>
      <c r="AA37" s="4">
        <f>Dane_Dáta!AA122</f>
        <v>0</v>
      </c>
    </row>
    <row r="38" spans="1:27" ht="30" x14ac:dyDescent="0.25">
      <c r="B38" s="294" t="s">
        <v>109</v>
      </c>
      <c r="C38" s="4">
        <f t="shared" ref="C38:Z38" si="1">C26</f>
        <v>0</v>
      </c>
      <c r="D38" s="4">
        <f t="shared" si="1"/>
        <v>0</v>
      </c>
      <c r="E38" s="4">
        <f t="shared" si="1"/>
        <v>0</v>
      </c>
      <c r="F38" s="4">
        <f t="shared" si="1"/>
        <v>0</v>
      </c>
      <c r="G38" s="4">
        <f t="shared" si="1"/>
        <v>0</v>
      </c>
      <c r="H38" s="4">
        <f t="shared" si="1"/>
        <v>0</v>
      </c>
      <c r="I38" s="4">
        <f t="shared" si="1"/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4">
        <f t="shared" si="1"/>
        <v>0</v>
      </c>
      <c r="O38" s="4">
        <f t="shared" si="1"/>
        <v>0</v>
      </c>
      <c r="P38" s="4">
        <f t="shared" si="1"/>
        <v>0</v>
      </c>
      <c r="Q38" s="4">
        <f t="shared" si="1"/>
        <v>0</v>
      </c>
      <c r="R38" s="4">
        <f t="shared" si="1"/>
        <v>0</v>
      </c>
      <c r="S38" s="4">
        <f t="shared" si="1"/>
        <v>0</v>
      </c>
      <c r="T38" s="4">
        <f t="shared" si="1"/>
        <v>0</v>
      </c>
      <c r="U38" s="4">
        <f t="shared" si="1"/>
        <v>0</v>
      </c>
      <c r="V38" s="4">
        <f t="shared" si="1"/>
        <v>0</v>
      </c>
      <c r="W38" s="4">
        <f t="shared" si="1"/>
        <v>0</v>
      </c>
      <c r="X38" s="4">
        <f t="shared" si="1"/>
        <v>0</v>
      </c>
      <c r="Y38" s="4">
        <f t="shared" si="1"/>
        <v>0</v>
      </c>
      <c r="Z38" s="4">
        <f t="shared" si="1"/>
        <v>0</v>
      </c>
      <c r="AA38" s="4">
        <f t="shared" ref="AA38" si="2">AA26</f>
        <v>0</v>
      </c>
    </row>
    <row r="39" spans="1:27" ht="30" x14ac:dyDescent="0.25">
      <c r="B39" s="294" t="s">
        <v>95</v>
      </c>
      <c r="C39" s="4">
        <f>Dane_Dáta!C202</f>
        <v>0</v>
      </c>
      <c r="D39" s="4">
        <f>Dane_Dáta!D202</f>
        <v>0</v>
      </c>
      <c r="E39" s="4">
        <f>Dane_Dáta!E202</f>
        <v>0</v>
      </c>
      <c r="F39" s="4">
        <f>Dane_Dáta!F202</f>
        <v>0</v>
      </c>
      <c r="G39" s="4">
        <f>Dane_Dáta!G202</f>
        <v>0</v>
      </c>
      <c r="H39" s="4">
        <f>Dane_Dáta!H202</f>
        <v>0</v>
      </c>
      <c r="I39" s="4">
        <f>Dane_Dáta!I202</f>
        <v>0</v>
      </c>
      <c r="J39" s="4">
        <f>Dane_Dáta!J202</f>
        <v>0</v>
      </c>
      <c r="K39" s="4">
        <f>Dane_Dáta!K202</f>
        <v>0</v>
      </c>
      <c r="L39" s="4">
        <f>Dane_Dáta!L202</f>
        <v>0</v>
      </c>
      <c r="M39" s="4">
        <f>Dane_Dáta!M202</f>
        <v>0</v>
      </c>
      <c r="N39" s="4">
        <f>Dane_Dáta!N202</f>
        <v>0</v>
      </c>
      <c r="O39" s="4">
        <f>Dane_Dáta!O202</f>
        <v>0</v>
      </c>
      <c r="P39" s="4">
        <f>Dane_Dáta!P202</f>
        <v>0</v>
      </c>
      <c r="Q39" s="4">
        <f>Dane_Dáta!Q202</f>
        <v>0</v>
      </c>
      <c r="R39" s="4">
        <f>Dane_Dáta!R202</f>
        <v>0</v>
      </c>
      <c r="S39" s="4">
        <f>Dane_Dáta!S202</f>
        <v>0</v>
      </c>
      <c r="T39" s="4">
        <f>Dane_Dáta!T202</f>
        <v>0</v>
      </c>
      <c r="U39" s="4">
        <f>Dane_Dáta!U202</f>
        <v>0</v>
      </c>
      <c r="V39" s="4">
        <f>Dane_Dáta!V202</f>
        <v>0</v>
      </c>
      <c r="W39" s="4">
        <f>Dane_Dáta!W202</f>
        <v>0</v>
      </c>
      <c r="X39" s="4">
        <f>Dane_Dáta!X202</f>
        <v>0</v>
      </c>
      <c r="Y39" s="4">
        <f>Dane_Dáta!Y202</f>
        <v>0</v>
      </c>
      <c r="Z39" s="4">
        <f>Dane_Dáta!Z202</f>
        <v>0</v>
      </c>
      <c r="AA39" s="4">
        <f>Dane_Dáta!AA202</f>
        <v>0</v>
      </c>
    </row>
    <row r="40" spans="1:27" ht="30" x14ac:dyDescent="0.25">
      <c r="B40" s="294" t="s">
        <v>112</v>
      </c>
      <c r="C40" s="4">
        <f>Dane_Dáta!C230</f>
        <v>0</v>
      </c>
      <c r="D40" s="4">
        <f>Dane_Dáta!D230</f>
        <v>0</v>
      </c>
      <c r="E40" s="4">
        <f>Dane_Dáta!E230</f>
        <v>0</v>
      </c>
      <c r="F40" s="4">
        <f>Dane_Dáta!F230</f>
        <v>0</v>
      </c>
      <c r="G40" s="4">
        <f>Dane_Dáta!G230</f>
        <v>0</v>
      </c>
      <c r="H40" s="4">
        <f>Dane_Dáta!H230</f>
        <v>0</v>
      </c>
      <c r="I40" s="4">
        <f>Dane_Dáta!I230</f>
        <v>0</v>
      </c>
      <c r="J40" s="4">
        <f>Dane_Dáta!J230</f>
        <v>0</v>
      </c>
      <c r="K40" s="4">
        <f>Dane_Dáta!K230</f>
        <v>0</v>
      </c>
      <c r="L40" s="4">
        <f>Dane_Dáta!L230</f>
        <v>0</v>
      </c>
      <c r="M40" s="4">
        <f>Dane_Dáta!M230</f>
        <v>0</v>
      </c>
      <c r="N40" s="4">
        <f>Dane_Dáta!N230</f>
        <v>0</v>
      </c>
      <c r="O40" s="4">
        <f>Dane_Dáta!O230</f>
        <v>0</v>
      </c>
      <c r="P40" s="4">
        <f>Dane_Dáta!P230</f>
        <v>0</v>
      </c>
      <c r="Q40" s="4">
        <f>Dane_Dáta!Q230</f>
        <v>0</v>
      </c>
      <c r="R40" s="4">
        <f>Dane_Dáta!R230</f>
        <v>0</v>
      </c>
      <c r="S40" s="4">
        <f>Dane_Dáta!S230</f>
        <v>0</v>
      </c>
      <c r="T40" s="4">
        <f>Dane_Dáta!T230</f>
        <v>0</v>
      </c>
      <c r="U40" s="4">
        <f>Dane_Dáta!U230</f>
        <v>0</v>
      </c>
      <c r="V40" s="4">
        <f>Dane_Dáta!V230</f>
        <v>0</v>
      </c>
      <c r="W40" s="4">
        <f>Dane_Dáta!W230</f>
        <v>0</v>
      </c>
      <c r="X40" s="4">
        <f>Dane_Dáta!X230</f>
        <v>0</v>
      </c>
      <c r="Y40" s="4">
        <f>Dane_Dáta!Y230</f>
        <v>0</v>
      </c>
      <c r="Z40" s="4">
        <f>Dane_Dáta!Z230</f>
        <v>0</v>
      </c>
      <c r="AA40" s="4">
        <f>Dane_Dáta!AA230</f>
        <v>0</v>
      </c>
    </row>
    <row r="41" spans="1:27" ht="45" x14ac:dyDescent="0.25">
      <c r="B41" s="293" t="s">
        <v>351</v>
      </c>
      <c r="C41" s="4">
        <f>Dane_Dáta!C227+Dane_Dáta!C228</f>
        <v>0</v>
      </c>
      <c r="D41" s="4">
        <f>Dane_Dáta!D227+Dane_Dáta!D228</f>
        <v>0</v>
      </c>
      <c r="E41" s="4">
        <f>Dane_Dáta!E227+Dane_Dáta!E228</f>
        <v>0</v>
      </c>
      <c r="F41" s="4">
        <f>Dane_Dáta!F227+Dane_Dáta!F228</f>
        <v>0</v>
      </c>
      <c r="G41" s="4">
        <f>Dane_Dáta!G227+Dane_Dáta!G228</f>
        <v>0</v>
      </c>
      <c r="H41" s="4">
        <f>Dane_Dáta!H227+Dane_Dáta!H228</f>
        <v>0</v>
      </c>
      <c r="I41" s="4">
        <f>Dane_Dáta!I227+Dane_Dáta!I228</f>
        <v>0</v>
      </c>
      <c r="J41" s="4">
        <f>Dane_Dáta!J227+Dane_Dáta!J228</f>
        <v>0</v>
      </c>
      <c r="K41" s="4">
        <f>Dane_Dáta!K227+Dane_Dáta!K228</f>
        <v>0</v>
      </c>
      <c r="L41" s="4">
        <f>Dane_Dáta!L227+Dane_Dáta!L228</f>
        <v>0</v>
      </c>
      <c r="M41" s="4">
        <f>Dane_Dáta!M227+Dane_Dáta!M228</f>
        <v>0</v>
      </c>
      <c r="N41" s="4">
        <f>Dane_Dáta!N227+Dane_Dáta!N228</f>
        <v>0</v>
      </c>
      <c r="O41" s="4">
        <f>Dane_Dáta!O227+Dane_Dáta!O228</f>
        <v>0</v>
      </c>
      <c r="P41" s="4">
        <f>Dane_Dáta!P227+Dane_Dáta!P228</f>
        <v>0</v>
      </c>
      <c r="Q41" s="4">
        <f>Dane_Dáta!Q227+Dane_Dáta!Q228</f>
        <v>0</v>
      </c>
      <c r="R41" s="4">
        <f>Dane_Dáta!R227+Dane_Dáta!R228</f>
        <v>0</v>
      </c>
      <c r="S41" s="4">
        <f>Dane_Dáta!S227+Dane_Dáta!S228</f>
        <v>0</v>
      </c>
      <c r="T41" s="4">
        <f>Dane_Dáta!T227+Dane_Dáta!T228</f>
        <v>0</v>
      </c>
      <c r="U41" s="4">
        <f>Dane_Dáta!U227+Dane_Dáta!U228</f>
        <v>0</v>
      </c>
      <c r="V41" s="4">
        <f>Dane_Dáta!V227+Dane_Dáta!V228</f>
        <v>0</v>
      </c>
      <c r="W41" s="4">
        <f>Dane_Dáta!W227+Dane_Dáta!W228</f>
        <v>0</v>
      </c>
      <c r="X41" s="4">
        <f>Dane_Dáta!X227+Dane_Dáta!X228</f>
        <v>0</v>
      </c>
      <c r="Y41" s="4">
        <f>Dane_Dáta!Y227+Dane_Dáta!Y228</f>
        <v>0</v>
      </c>
      <c r="Z41" s="4">
        <f>Dane_Dáta!Z227+Dane_Dáta!Z228</f>
        <v>0</v>
      </c>
      <c r="AA41" s="4">
        <f>Dane_Dáta!AA227+Dane_Dáta!AA228</f>
        <v>0</v>
      </c>
    </row>
    <row r="42" spans="1:27" ht="30" x14ac:dyDescent="0.25">
      <c r="B42" s="294" t="s">
        <v>110</v>
      </c>
      <c r="C42" s="4">
        <f>IF(C36&gt;0,C37+C38-C39+C40-C41,0)</f>
        <v>0</v>
      </c>
      <c r="D42" s="4">
        <f t="shared" ref="D42:AA42" si="3">IF(D36&gt;0,D37+D38-D39+D40-D41,0)</f>
        <v>0</v>
      </c>
      <c r="E42" s="4">
        <f t="shared" si="3"/>
        <v>0</v>
      </c>
      <c r="F42" s="4">
        <f t="shared" si="3"/>
        <v>0</v>
      </c>
      <c r="G42" s="4">
        <f t="shared" si="3"/>
        <v>0</v>
      </c>
      <c r="H42" s="4">
        <f t="shared" si="3"/>
        <v>0</v>
      </c>
      <c r="I42" s="4">
        <f t="shared" si="3"/>
        <v>0</v>
      </c>
      <c r="J42" s="4">
        <f t="shared" si="3"/>
        <v>0</v>
      </c>
      <c r="K42" s="4">
        <f t="shared" si="3"/>
        <v>0</v>
      </c>
      <c r="L42" s="4">
        <f t="shared" si="3"/>
        <v>0</v>
      </c>
      <c r="M42" s="4">
        <f t="shared" si="3"/>
        <v>0</v>
      </c>
      <c r="N42" s="4">
        <f t="shared" si="3"/>
        <v>0</v>
      </c>
      <c r="O42" s="4">
        <f t="shared" si="3"/>
        <v>0</v>
      </c>
      <c r="P42" s="4">
        <f t="shared" si="3"/>
        <v>0</v>
      </c>
      <c r="Q42" s="4">
        <f t="shared" si="3"/>
        <v>0</v>
      </c>
      <c r="R42" s="4">
        <f t="shared" si="3"/>
        <v>0</v>
      </c>
      <c r="S42" s="4">
        <f t="shared" si="3"/>
        <v>0</v>
      </c>
      <c r="T42" s="4">
        <f t="shared" si="3"/>
        <v>0</v>
      </c>
      <c r="U42" s="4">
        <f t="shared" si="3"/>
        <v>0</v>
      </c>
      <c r="V42" s="4">
        <f t="shared" si="3"/>
        <v>0</v>
      </c>
      <c r="W42" s="4">
        <f t="shared" si="3"/>
        <v>0</v>
      </c>
      <c r="X42" s="4">
        <f t="shared" si="3"/>
        <v>0</v>
      </c>
      <c r="Y42" s="4">
        <f t="shared" si="3"/>
        <v>0</v>
      </c>
      <c r="Z42" s="4">
        <f t="shared" si="3"/>
        <v>0</v>
      </c>
      <c r="AA42" s="4">
        <f t="shared" si="3"/>
        <v>0</v>
      </c>
    </row>
    <row r="43" spans="1:27" ht="30" x14ac:dyDescent="0.25">
      <c r="B43" s="259" t="s">
        <v>36</v>
      </c>
      <c r="C43" s="38">
        <f>Założenia_Predpoklady!$C$7</f>
        <v>0.04</v>
      </c>
    </row>
    <row r="44" spans="1:27" ht="30" x14ac:dyDescent="0.25">
      <c r="B44" s="18" t="s">
        <v>277</v>
      </c>
      <c r="C44" s="31">
        <f>ROUND((NPV($C$43,D42:AA42)+C42),2)</f>
        <v>0</v>
      </c>
    </row>
    <row r="45" spans="1:27" x14ac:dyDescent="0.25">
      <c r="B45" s="28"/>
    </row>
    <row r="46" spans="1:27" ht="30" customHeight="1" x14ac:dyDescent="0.25">
      <c r="A46" s="540" t="s">
        <v>355</v>
      </c>
      <c r="B46" s="540"/>
      <c r="C46" s="540"/>
      <c r="D46" s="35"/>
      <c r="E46" s="35"/>
      <c r="F46" s="1"/>
    </row>
    <row r="47" spans="1:27" x14ac:dyDescent="0.25">
      <c r="B47" s="30" t="s">
        <v>356</v>
      </c>
      <c r="C47" s="48" t="str">
        <f>IFERROR(IRR(C42:AA42,-0.5),"Brak możliwości obliczenia (wartość ujemna). 
Výpočet nemožný (záporné hodnoty).")</f>
        <v>Brak możliwości obliczenia (wartość ujemna). 
Výpočet nemožný (záporné hodnoty).</v>
      </c>
      <c r="D47" s="49"/>
      <c r="E47" s="49"/>
      <c r="F47" s="49"/>
      <c r="G47" s="50"/>
    </row>
    <row r="48" spans="1:27" x14ac:dyDescent="0.25">
      <c r="B48" s="28"/>
    </row>
    <row r="49" spans="1:28" ht="30" customHeight="1" x14ac:dyDescent="0.25">
      <c r="A49" s="537" t="s">
        <v>113</v>
      </c>
      <c r="B49" s="537"/>
      <c r="C49" s="537"/>
    </row>
    <row r="50" spans="1:28" ht="3" customHeight="1" x14ac:dyDescent="0.25">
      <c r="A50" s="430"/>
      <c r="B50" s="68"/>
      <c r="C50" s="19">
        <f>Założenia_Predpoklady!C9</f>
        <v>2016</v>
      </c>
      <c r="D50" s="19">
        <f>Założenia_Predpoklady!D9</f>
        <v>2017</v>
      </c>
      <c r="E50" s="19">
        <f>Założenia_Predpoklady!E9</f>
        <v>2018</v>
      </c>
      <c r="F50" s="19">
        <f>Założenia_Predpoklady!F9</f>
        <v>2019</v>
      </c>
      <c r="G50" s="19">
        <f>Założenia_Predpoklady!G9</f>
        <v>2020</v>
      </c>
      <c r="H50" s="19">
        <f>Założenia_Predpoklady!H9</f>
        <v>2021</v>
      </c>
      <c r="I50" s="19">
        <f>Założenia_Predpoklady!I9</f>
        <v>2022</v>
      </c>
      <c r="J50" s="19">
        <f>Założenia_Predpoklady!J9</f>
        <v>2023</v>
      </c>
      <c r="K50" s="19">
        <f>Założenia_Predpoklady!K9</f>
        <v>2024</v>
      </c>
      <c r="L50" s="19">
        <f>Założenia_Predpoklady!L9</f>
        <v>2025</v>
      </c>
      <c r="M50" s="19">
        <f>Założenia_Predpoklady!M9</f>
        <v>2026</v>
      </c>
      <c r="N50" s="19">
        <f>Założenia_Predpoklady!N9</f>
        <v>2027</v>
      </c>
      <c r="O50" s="19">
        <f>Założenia_Predpoklady!O9</f>
        <v>2028</v>
      </c>
      <c r="P50" s="19">
        <f>Założenia_Predpoklady!P9</f>
        <v>2029</v>
      </c>
      <c r="Q50" s="19">
        <f>Założenia_Predpoklady!Q9</f>
        <v>2030</v>
      </c>
      <c r="R50" s="19">
        <f>Założenia_Predpoklady!R9</f>
        <v>2031</v>
      </c>
      <c r="S50" s="19">
        <f>Założenia_Predpoklady!S9</f>
        <v>2032</v>
      </c>
      <c r="T50" s="19">
        <f>Założenia_Predpoklady!T9</f>
        <v>2033</v>
      </c>
      <c r="U50" s="19">
        <f>Założenia_Predpoklady!U9</f>
        <v>2034</v>
      </c>
      <c r="V50" s="19">
        <f>Założenia_Predpoklady!V9</f>
        <v>2035</v>
      </c>
      <c r="W50" s="19">
        <f>Założenia_Predpoklady!W9</f>
        <v>2036</v>
      </c>
      <c r="X50" s="19">
        <f>Założenia_Predpoklady!X9</f>
        <v>2037</v>
      </c>
      <c r="Y50" s="19">
        <f>Założenia_Predpoklady!Y9</f>
        <v>2038</v>
      </c>
      <c r="Z50" s="19">
        <f>Założenia_Predpoklady!Z9</f>
        <v>2039</v>
      </c>
      <c r="AA50" s="19">
        <f>Założenia_Predpoklady!AA9</f>
        <v>2040</v>
      </c>
      <c r="AB50" s="68"/>
    </row>
    <row r="51" spans="1:28" ht="3" customHeight="1" x14ac:dyDescent="0.25">
      <c r="A51" s="68"/>
      <c r="B51" s="431" t="s">
        <v>399</v>
      </c>
      <c r="C51" s="432">
        <f>C24</f>
        <v>0</v>
      </c>
      <c r="D51" s="432">
        <f t="shared" ref="D51:K51" si="4">D24</f>
        <v>0</v>
      </c>
      <c r="E51" s="432">
        <f t="shared" si="4"/>
        <v>0</v>
      </c>
      <c r="F51" s="432">
        <f t="shared" si="4"/>
        <v>0</v>
      </c>
      <c r="G51" s="432">
        <f t="shared" si="4"/>
        <v>0</v>
      </c>
      <c r="H51" s="432">
        <f t="shared" si="4"/>
        <v>0</v>
      </c>
      <c r="I51" s="432">
        <f t="shared" si="4"/>
        <v>0</v>
      </c>
      <c r="J51" s="432">
        <f t="shared" si="4"/>
        <v>0</v>
      </c>
      <c r="K51" s="432">
        <f t="shared" si="4"/>
        <v>0</v>
      </c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  <row r="52" spans="1:28" ht="3" customHeight="1" x14ac:dyDescent="0.25">
      <c r="A52" s="68"/>
      <c r="B52" s="427" t="s">
        <v>400</v>
      </c>
      <c r="C52" s="432">
        <f>C25+C26</f>
        <v>0</v>
      </c>
      <c r="D52" s="432">
        <f t="shared" ref="D52:AA52" si="5">D25+D26</f>
        <v>0</v>
      </c>
      <c r="E52" s="432">
        <f t="shared" si="5"/>
        <v>0</v>
      </c>
      <c r="F52" s="432">
        <f t="shared" si="5"/>
        <v>0</v>
      </c>
      <c r="G52" s="432">
        <f t="shared" si="5"/>
        <v>0</v>
      </c>
      <c r="H52" s="432">
        <f t="shared" si="5"/>
        <v>0</v>
      </c>
      <c r="I52" s="432">
        <f t="shared" si="5"/>
        <v>0</v>
      </c>
      <c r="J52" s="432">
        <f t="shared" si="5"/>
        <v>0</v>
      </c>
      <c r="K52" s="432">
        <f t="shared" si="5"/>
        <v>0</v>
      </c>
      <c r="L52" s="432">
        <f t="shared" si="5"/>
        <v>0</v>
      </c>
      <c r="M52" s="432">
        <f t="shared" si="5"/>
        <v>0</v>
      </c>
      <c r="N52" s="432">
        <f t="shared" si="5"/>
        <v>0</v>
      </c>
      <c r="O52" s="432">
        <f t="shared" si="5"/>
        <v>0</v>
      </c>
      <c r="P52" s="432">
        <f t="shared" si="5"/>
        <v>0</v>
      </c>
      <c r="Q52" s="432">
        <f t="shared" si="5"/>
        <v>0</v>
      </c>
      <c r="R52" s="432">
        <f t="shared" si="5"/>
        <v>0</v>
      </c>
      <c r="S52" s="432">
        <f t="shared" si="5"/>
        <v>0</v>
      </c>
      <c r="T52" s="432">
        <f t="shared" si="5"/>
        <v>0</v>
      </c>
      <c r="U52" s="432">
        <f t="shared" si="5"/>
        <v>0</v>
      </c>
      <c r="V52" s="432">
        <f t="shared" si="5"/>
        <v>0</v>
      </c>
      <c r="W52" s="432">
        <f t="shared" si="5"/>
        <v>0</v>
      </c>
      <c r="X52" s="432">
        <f t="shared" si="5"/>
        <v>0</v>
      </c>
      <c r="Y52" s="432">
        <f t="shared" si="5"/>
        <v>0</v>
      </c>
      <c r="Z52" s="432">
        <f t="shared" si="5"/>
        <v>0</v>
      </c>
      <c r="AA52" s="432">
        <f t="shared" si="5"/>
        <v>0</v>
      </c>
      <c r="AB52" s="68"/>
    </row>
    <row r="53" spans="1:28" ht="3" customHeight="1" x14ac:dyDescent="0.25">
      <c r="A53" s="68"/>
      <c r="B53" s="431" t="s">
        <v>401</v>
      </c>
      <c r="C53" s="432">
        <f>C27</f>
        <v>0</v>
      </c>
      <c r="D53" s="432">
        <f t="shared" ref="D53:AA53" si="6">D27</f>
        <v>0</v>
      </c>
      <c r="E53" s="432">
        <f t="shared" si="6"/>
        <v>0</v>
      </c>
      <c r="F53" s="432">
        <f t="shared" si="6"/>
        <v>0</v>
      </c>
      <c r="G53" s="432">
        <f t="shared" si="6"/>
        <v>0</v>
      </c>
      <c r="H53" s="432">
        <f t="shared" si="6"/>
        <v>0</v>
      </c>
      <c r="I53" s="432">
        <f t="shared" si="6"/>
        <v>0</v>
      </c>
      <c r="J53" s="432">
        <f t="shared" si="6"/>
        <v>0</v>
      </c>
      <c r="K53" s="432">
        <f t="shared" si="6"/>
        <v>0</v>
      </c>
      <c r="L53" s="432">
        <f t="shared" si="6"/>
        <v>0</v>
      </c>
      <c r="M53" s="432">
        <f t="shared" si="6"/>
        <v>0</v>
      </c>
      <c r="N53" s="432">
        <f t="shared" si="6"/>
        <v>0</v>
      </c>
      <c r="O53" s="432">
        <f t="shared" si="6"/>
        <v>0</v>
      </c>
      <c r="P53" s="432">
        <f t="shared" si="6"/>
        <v>0</v>
      </c>
      <c r="Q53" s="432">
        <f t="shared" si="6"/>
        <v>0</v>
      </c>
      <c r="R53" s="432">
        <f t="shared" si="6"/>
        <v>0</v>
      </c>
      <c r="S53" s="432">
        <f t="shared" si="6"/>
        <v>0</v>
      </c>
      <c r="T53" s="432">
        <f t="shared" si="6"/>
        <v>0</v>
      </c>
      <c r="U53" s="432">
        <f t="shared" si="6"/>
        <v>0</v>
      </c>
      <c r="V53" s="432">
        <f t="shared" si="6"/>
        <v>0</v>
      </c>
      <c r="W53" s="432">
        <f t="shared" si="6"/>
        <v>0</v>
      </c>
      <c r="X53" s="432">
        <f t="shared" si="6"/>
        <v>0</v>
      </c>
      <c r="Y53" s="432">
        <f t="shared" si="6"/>
        <v>0</v>
      </c>
      <c r="Z53" s="432">
        <f t="shared" si="6"/>
        <v>0</v>
      </c>
      <c r="AA53" s="432">
        <f t="shared" si="6"/>
        <v>0</v>
      </c>
      <c r="AB53" s="68"/>
    </row>
    <row r="54" spans="1:28" ht="3" customHeight="1" x14ac:dyDescent="0.25">
      <c r="A54" s="68"/>
      <c r="B54" s="427" t="s">
        <v>402</v>
      </c>
      <c r="C54" s="432">
        <f>C52-C51-C53</f>
        <v>0</v>
      </c>
      <c r="D54" s="432">
        <f t="shared" ref="D54:AA54" si="7">D52-D51-D53</f>
        <v>0</v>
      </c>
      <c r="E54" s="432">
        <f t="shared" si="7"/>
        <v>0</v>
      </c>
      <c r="F54" s="432">
        <f t="shared" si="7"/>
        <v>0</v>
      </c>
      <c r="G54" s="432">
        <f t="shared" si="7"/>
        <v>0</v>
      </c>
      <c r="H54" s="432">
        <f t="shared" si="7"/>
        <v>0</v>
      </c>
      <c r="I54" s="432">
        <f t="shared" si="7"/>
        <v>0</v>
      </c>
      <c r="J54" s="432">
        <f t="shared" si="7"/>
        <v>0</v>
      </c>
      <c r="K54" s="432">
        <f t="shared" si="7"/>
        <v>0</v>
      </c>
      <c r="L54" s="432">
        <f t="shared" si="7"/>
        <v>0</v>
      </c>
      <c r="M54" s="432">
        <f t="shared" si="7"/>
        <v>0</v>
      </c>
      <c r="N54" s="432">
        <f t="shared" si="7"/>
        <v>0</v>
      </c>
      <c r="O54" s="432">
        <f t="shared" si="7"/>
        <v>0</v>
      </c>
      <c r="P54" s="432">
        <f t="shared" si="7"/>
        <v>0</v>
      </c>
      <c r="Q54" s="432">
        <f t="shared" si="7"/>
        <v>0</v>
      </c>
      <c r="R54" s="432">
        <f t="shared" si="7"/>
        <v>0</v>
      </c>
      <c r="S54" s="432">
        <f t="shared" si="7"/>
        <v>0</v>
      </c>
      <c r="T54" s="432">
        <f t="shared" si="7"/>
        <v>0</v>
      </c>
      <c r="U54" s="432">
        <f t="shared" si="7"/>
        <v>0</v>
      </c>
      <c r="V54" s="432">
        <f t="shared" si="7"/>
        <v>0</v>
      </c>
      <c r="W54" s="432">
        <f t="shared" si="7"/>
        <v>0</v>
      </c>
      <c r="X54" s="432">
        <f t="shared" si="7"/>
        <v>0</v>
      </c>
      <c r="Y54" s="432">
        <f t="shared" si="7"/>
        <v>0</v>
      </c>
      <c r="Z54" s="432">
        <f t="shared" si="7"/>
        <v>0</v>
      </c>
      <c r="AA54" s="432">
        <f t="shared" si="7"/>
        <v>0</v>
      </c>
      <c r="AB54" s="68"/>
    </row>
    <row r="55" spans="1:28" ht="3" customHeight="1" x14ac:dyDescent="0.25">
      <c r="A55" s="68"/>
      <c r="B55" s="429" t="s">
        <v>9</v>
      </c>
      <c r="C55" s="432">
        <f>NPV(Założenia_Predpoklady!$C$7,D54:AA54)+C54</f>
        <v>0</v>
      </c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68"/>
      <c r="V55" s="68"/>
      <c r="W55" s="68"/>
      <c r="X55" s="68"/>
      <c r="Y55" s="68"/>
      <c r="Z55" s="68"/>
      <c r="AA55" s="68"/>
      <c r="AB55" s="68"/>
    </row>
    <row r="56" spans="1:28" ht="3" customHeight="1" x14ac:dyDescent="0.25">
      <c r="A56" s="68"/>
      <c r="B56" s="427" t="s">
        <v>403</v>
      </c>
      <c r="C56" s="433" t="e">
        <f>IRR(C54:AB54,-0.5)</f>
        <v>#NUM!</v>
      </c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68"/>
      <c r="V56" s="68"/>
      <c r="W56" s="68"/>
      <c r="X56" s="68"/>
      <c r="Y56" s="68"/>
      <c r="Z56" s="68"/>
      <c r="AA56" s="68"/>
      <c r="AB56" s="68"/>
    </row>
    <row r="57" spans="1:28" ht="3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</row>
    <row r="58" spans="1:28" ht="60" customHeight="1" x14ac:dyDescent="0.25">
      <c r="A58" s="67"/>
      <c r="B58" s="295" t="s">
        <v>114</v>
      </c>
      <c r="C58" s="88" t="s">
        <v>116</v>
      </c>
      <c r="D58" s="68"/>
      <c r="E58" s="434" t="s">
        <v>404</v>
      </c>
      <c r="F58" s="435">
        <v>0.1</v>
      </c>
      <c r="G58" s="435">
        <v>0.2</v>
      </c>
      <c r="H58" s="435">
        <v>0.3</v>
      </c>
      <c r="I58" s="435">
        <v>0.5</v>
      </c>
      <c r="J58" s="252"/>
      <c r="K58" s="252"/>
      <c r="L58" s="252"/>
      <c r="M58" s="252"/>
      <c r="N58" s="252"/>
      <c r="O58" s="252"/>
      <c r="P58" s="252"/>
      <c r="Q58" s="252"/>
      <c r="R58" s="252"/>
      <c r="S58" s="67"/>
      <c r="T58" s="67"/>
    </row>
    <row r="59" spans="1:28" ht="30" x14ac:dyDescent="0.25">
      <c r="A59" s="67"/>
      <c r="B59" s="295" t="s">
        <v>372</v>
      </c>
      <c r="C59" s="474"/>
      <c r="D59" s="68"/>
      <c r="E59" s="435">
        <f>1+C59</f>
        <v>1</v>
      </c>
      <c r="F59" s="435">
        <f>1+(C59/2)</f>
        <v>1</v>
      </c>
      <c r="G59" s="435">
        <f>1</f>
        <v>1</v>
      </c>
      <c r="H59" s="435">
        <f>1-(C59/2)</f>
        <v>1</v>
      </c>
      <c r="I59" s="435">
        <f>1-C59</f>
        <v>1</v>
      </c>
      <c r="J59" s="252"/>
      <c r="K59" s="252"/>
      <c r="L59" s="252"/>
      <c r="M59" s="252"/>
      <c r="N59" s="252"/>
      <c r="O59" s="252"/>
      <c r="P59" s="252"/>
      <c r="Q59" s="252"/>
      <c r="R59" s="252"/>
      <c r="S59" s="67"/>
      <c r="T59" s="67"/>
    </row>
    <row r="60" spans="1:28" ht="30" x14ac:dyDescent="0.25">
      <c r="A60" s="67"/>
      <c r="B60" s="295" t="s">
        <v>216</v>
      </c>
      <c r="C60" s="474"/>
      <c r="D60" s="68"/>
      <c r="E60" s="435">
        <f t="shared" ref="E60:E61" si="8">1+C60</f>
        <v>1</v>
      </c>
      <c r="F60" s="435">
        <f t="shared" ref="F60:F61" si="9">1+(C60/2)</f>
        <v>1</v>
      </c>
      <c r="G60" s="435">
        <f>1</f>
        <v>1</v>
      </c>
      <c r="H60" s="435">
        <f t="shared" ref="H60:H61" si="10">1-(C60/2)</f>
        <v>1</v>
      </c>
      <c r="I60" s="435">
        <f t="shared" ref="I60:I61" si="11">1-C60</f>
        <v>1</v>
      </c>
      <c r="J60" s="252"/>
      <c r="K60" s="252"/>
      <c r="L60" s="252"/>
      <c r="M60" s="252"/>
      <c r="N60" s="252"/>
      <c r="O60" s="252"/>
      <c r="P60" s="252"/>
      <c r="Q60" s="252"/>
      <c r="R60" s="252"/>
      <c r="S60" s="67"/>
      <c r="T60" s="67"/>
    </row>
    <row r="61" spans="1:28" ht="30" x14ac:dyDescent="0.25">
      <c r="A61" s="67"/>
      <c r="B61" s="295" t="s">
        <v>115</v>
      </c>
      <c r="C61" s="474"/>
      <c r="D61" s="68"/>
      <c r="E61" s="435">
        <f t="shared" si="8"/>
        <v>1</v>
      </c>
      <c r="F61" s="435">
        <f t="shared" si="9"/>
        <v>1</v>
      </c>
      <c r="G61" s="435">
        <f>1</f>
        <v>1</v>
      </c>
      <c r="H61" s="435">
        <f t="shared" si="10"/>
        <v>1</v>
      </c>
      <c r="I61" s="435">
        <f t="shared" si="11"/>
        <v>1</v>
      </c>
      <c r="J61" s="252"/>
      <c r="K61" s="252"/>
      <c r="L61" s="252"/>
      <c r="M61" s="252"/>
      <c r="N61" s="252"/>
      <c r="O61" s="252"/>
      <c r="P61" s="252"/>
      <c r="Q61" s="252"/>
      <c r="R61" s="252"/>
      <c r="S61" s="67"/>
      <c r="T61" s="67"/>
    </row>
    <row r="62" spans="1:28" x14ac:dyDescent="0.25">
      <c r="A62" s="67"/>
      <c r="B62" s="67"/>
      <c r="C62" s="67"/>
      <c r="D62" s="3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67"/>
      <c r="T62" s="67"/>
    </row>
    <row r="63" spans="1:28" ht="30" customHeight="1" x14ac:dyDescent="0.25">
      <c r="A63" s="534" t="s">
        <v>373</v>
      </c>
      <c r="B63" s="534"/>
      <c r="C63" s="534"/>
      <c r="D63" s="3"/>
      <c r="E63" s="3"/>
      <c r="F63" s="92"/>
      <c r="G63" s="92"/>
      <c r="H63" s="92"/>
      <c r="I63" s="92"/>
      <c r="J63" s="92"/>
      <c r="K63" s="3"/>
      <c r="L63" s="92"/>
      <c r="M63" s="92"/>
      <c r="N63" s="92"/>
      <c r="O63" s="83"/>
      <c r="P63" s="83"/>
      <c r="Q63" s="67"/>
      <c r="R63" s="67"/>
      <c r="S63" s="67"/>
      <c r="T63" s="67"/>
    </row>
    <row r="64" spans="1:28" ht="3" customHeight="1" x14ac:dyDescent="0.25">
      <c r="A64" s="89">
        <f>E59</f>
        <v>1</v>
      </c>
      <c r="B64" s="436" t="s">
        <v>405</v>
      </c>
      <c r="C64" s="432">
        <f>-$A64*C$51+C$52-C$53</f>
        <v>0</v>
      </c>
      <c r="D64" s="432">
        <f t="shared" ref="D64:AA68" si="12">-$A64*D$51+D$52-D$53</f>
        <v>0</v>
      </c>
      <c r="E64" s="432">
        <f t="shared" si="12"/>
        <v>0</v>
      </c>
      <c r="F64" s="432">
        <f t="shared" si="12"/>
        <v>0</v>
      </c>
      <c r="G64" s="432">
        <f t="shared" si="12"/>
        <v>0</v>
      </c>
      <c r="H64" s="432">
        <f t="shared" si="12"/>
        <v>0</v>
      </c>
      <c r="I64" s="432">
        <f t="shared" si="12"/>
        <v>0</v>
      </c>
      <c r="J64" s="432">
        <f t="shared" si="12"/>
        <v>0</v>
      </c>
      <c r="K64" s="432">
        <f t="shared" si="12"/>
        <v>0</v>
      </c>
      <c r="L64" s="432">
        <f t="shared" si="12"/>
        <v>0</v>
      </c>
      <c r="M64" s="432">
        <f t="shared" si="12"/>
        <v>0</v>
      </c>
      <c r="N64" s="432">
        <f t="shared" si="12"/>
        <v>0</v>
      </c>
      <c r="O64" s="432">
        <f t="shared" si="12"/>
        <v>0</v>
      </c>
      <c r="P64" s="432">
        <f t="shared" si="12"/>
        <v>0</v>
      </c>
      <c r="Q64" s="432">
        <f t="shared" si="12"/>
        <v>0</v>
      </c>
      <c r="R64" s="432">
        <f t="shared" si="12"/>
        <v>0</v>
      </c>
      <c r="S64" s="432">
        <f t="shared" si="12"/>
        <v>0</v>
      </c>
      <c r="T64" s="432">
        <f t="shared" si="12"/>
        <v>0</v>
      </c>
      <c r="U64" s="432">
        <f t="shared" si="12"/>
        <v>0</v>
      </c>
      <c r="V64" s="432">
        <f t="shared" si="12"/>
        <v>0</v>
      </c>
      <c r="W64" s="432">
        <f t="shared" si="12"/>
        <v>0</v>
      </c>
      <c r="X64" s="432">
        <f t="shared" si="12"/>
        <v>0</v>
      </c>
      <c r="Y64" s="432">
        <f t="shared" si="12"/>
        <v>0</v>
      </c>
      <c r="Z64" s="432">
        <f t="shared" si="12"/>
        <v>0</v>
      </c>
      <c r="AA64" s="432">
        <f t="shared" si="12"/>
        <v>0</v>
      </c>
      <c r="AB64" s="68"/>
    </row>
    <row r="65" spans="1:28" ht="3" customHeight="1" x14ac:dyDescent="0.25">
      <c r="A65" s="89">
        <f>F59</f>
        <v>1</v>
      </c>
      <c r="B65" s="436" t="s">
        <v>405</v>
      </c>
      <c r="C65" s="432">
        <f t="shared" ref="C65:C68" si="13">-$A65*C$51+C$52-C$53</f>
        <v>0</v>
      </c>
      <c r="D65" s="432">
        <f t="shared" si="12"/>
        <v>0</v>
      </c>
      <c r="E65" s="432">
        <f t="shared" si="12"/>
        <v>0</v>
      </c>
      <c r="F65" s="432">
        <f t="shared" si="12"/>
        <v>0</v>
      </c>
      <c r="G65" s="432">
        <f t="shared" si="12"/>
        <v>0</v>
      </c>
      <c r="H65" s="432">
        <f t="shared" si="12"/>
        <v>0</v>
      </c>
      <c r="I65" s="432">
        <f t="shared" si="12"/>
        <v>0</v>
      </c>
      <c r="J65" s="432">
        <f t="shared" si="12"/>
        <v>0</v>
      </c>
      <c r="K65" s="432">
        <f t="shared" si="12"/>
        <v>0</v>
      </c>
      <c r="L65" s="432">
        <f t="shared" si="12"/>
        <v>0</v>
      </c>
      <c r="M65" s="432">
        <f t="shared" si="12"/>
        <v>0</v>
      </c>
      <c r="N65" s="432">
        <f t="shared" si="12"/>
        <v>0</v>
      </c>
      <c r="O65" s="432">
        <f t="shared" si="12"/>
        <v>0</v>
      </c>
      <c r="P65" s="432">
        <f t="shared" si="12"/>
        <v>0</v>
      </c>
      <c r="Q65" s="432">
        <f t="shared" si="12"/>
        <v>0</v>
      </c>
      <c r="R65" s="432">
        <f t="shared" si="12"/>
        <v>0</v>
      </c>
      <c r="S65" s="432">
        <f t="shared" si="12"/>
        <v>0</v>
      </c>
      <c r="T65" s="432">
        <f t="shared" si="12"/>
        <v>0</v>
      </c>
      <c r="U65" s="432">
        <f t="shared" si="12"/>
        <v>0</v>
      </c>
      <c r="V65" s="432">
        <f t="shared" si="12"/>
        <v>0</v>
      </c>
      <c r="W65" s="432">
        <f t="shared" si="12"/>
        <v>0</v>
      </c>
      <c r="X65" s="432">
        <f t="shared" si="12"/>
        <v>0</v>
      </c>
      <c r="Y65" s="432">
        <f t="shared" si="12"/>
        <v>0</v>
      </c>
      <c r="Z65" s="432">
        <f t="shared" si="12"/>
        <v>0</v>
      </c>
      <c r="AA65" s="432">
        <f t="shared" si="12"/>
        <v>0</v>
      </c>
      <c r="AB65" s="68"/>
    </row>
    <row r="66" spans="1:28" ht="3" customHeight="1" x14ac:dyDescent="0.25">
      <c r="A66" s="89">
        <f>G59</f>
        <v>1</v>
      </c>
      <c r="B66" s="437" t="s">
        <v>406</v>
      </c>
      <c r="C66" s="432">
        <f t="shared" si="13"/>
        <v>0</v>
      </c>
      <c r="D66" s="432">
        <f t="shared" si="12"/>
        <v>0</v>
      </c>
      <c r="E66" s="432">
        <f t="shared" si="12"/>
        <v>0</v>
      </c>
      <c r="F66" s="432">
        <f t="shared" si="12"/>
        <v>0</v>
      </c>
      <c r="G66" s="432">
        <f t="shared" si="12"/>
        <v>0</v>
      </c>
      <c r="H66" s="432">
        <f t="shared" si="12"/>
        <v>0</v>
      </c>
      <c r="I66" s="432">
        <f t="shared" si="12"/>
        <v>0</v>
      </c>
      <c r="J66" s="432">
        <f t="shared" si="12"/>
        <v>0</v>
      </c>
      <c r="K66" s="432">
        <f t="shared" si="12"/>
        <v>0</v>
      </c>
      <c r="L66" s="432">
        <f t="shared" si="12"/>
        <v>0</v>
      </c>
      <c r="M66" s="432">
        <f t="shared" si="12"/>
        <v>0</v>
      </c>
      <c r="N66" s="432">
        <f t="shared" si="12"/>
        <v>0</v>
      </c>
      <c r="O66" s="432">
        <f t="shared" si="12"/>
        <v>0</v>
      </c>
      <c r="P66" s="432">
        <f t="shared" si="12"/>
        <v>0</v>
      </c>
      <c r="Q66" s="432">
        <f t="shared" si="12"/>
        <v>0</v>
      </c>
      <c r="R66" s="432">
        <f t="shared" si="12"/>
        <v>0</v>
      </c>
      <c r="S66" s="432">
        <f t="shared" si="12"/>
        <v>0</v>
      </c>
      <c r="T66" s="432">
        <f t="shared" si="12"/>
        <v>0</v>
      </c>
      <c r="U66" s="432">
        <f t="shared" si="12"/>
        <v>0</v>
      </c>
      <c r="V66" s="432">
        <f t="shared" si="12"/>
        <v>0</v>
      </c>
      <c r="W66" s="432">
        <f t="shared" si="12"/>
        <v>0</v>
      </c>
      <c r="X66" s="432">
        <f t="shared" si="12"/>
        <v>0</v>
      </c>
      <c r="Y66" s="432">
        <f t="shared" si="12"/>
        <v>0</v>
      </c>
      <c r="Z66" s="432">
        <f t="shared" si="12"/>
        <v>0</v>
      </c>
      <c r="AA66" s="432">
        <f t="shared" si="12"/>
        <v>0</v>
      </c>
      <c r="AB66" s="68"/>
    </row>
    <row r="67" spans="1:28" ht="3" customHeight="1" x14ac:dyDescent="0.25">
      <c r="A67" s="89">
        <f>H59</f>
        <v>1</v>
      </c>
      <c r="B67" s="436" t="s">
        <v>407</v>
      </c>
      <c r="C67" s="432">
        <f t="shared" si="13"/>
        <v>0</v>
      </c>
      <c r="D67" s="432">
        <f t="shared" si="12"/>
        <v>0</v>
      </c>
      <c r="E67" s="432">
        <f t="shared" si="12"/>
        <v>0</v>
      </c>
      <c r="F67" s="432">
        <f t="shared" si="12"/>
        <v>0</v>
      </c>
      <c r="G67" s="432">
        <f t="shared" si="12"/>
        <v>0</v>
      </c>
      <c r="H67" s="432">
        <f t="shared" si="12"/>
        <v>0</v>
      </c>
      <c r="I67" s="432">
        <f t="shared" si="12"/>
        <v>0</v>
      </c>
      <c r="J67" s="432">
        <f t="shared" si="12"/>
        <v>0</v>
      </c>
      <c r="K67" s="432">
        <f t="shared" si="12"/>
        <v>0</v>
      </c>
      <c r="L67" s="432">
        <f t="shared" si="12"/>
        <v>0</v>
      </c>
      <c r="M67" s="432">
        <f t="shared" si="12"/>
        <v>0</v>
      </c>
      <c r="N67" s="432">
        <f t="shared" si="12"/>
        <v>0</v>
      </c>
      <c r="O67" s="432">
        <f t="shared" si="12"/>
        <v>0</v>
      </c>
      <c r="P67" s="432">
        <f t="shared" si="12"/>
        <v>0</v>
      </c>
      <c r="Q67" s="432">
        <f t="shared" si="12"/>
        <v>0</v>
      </c>
      <c r="R67" s="432">
        <f t="shared" si="12"/>
        <v>0</v>
      </c>
      <c r="S67" s="432">
        <f t="shared" si="12"/>
        <v>0</v>
      </c>
      <c r="T67" s="432">
        <f t="shared" si="12"/>
        <v>0</v>
      </c>
      <c r="U67" s="432">
        <f t="shared" si="12"/>
        <v>0</v>
      </c>
      <c r="V67" s="432">
        <f t="shared" si="12"/>
        <v>0</v>
      </c>
      <c r="W67" s="432">
        <f t="shared" si="12"/>
        <v>0</v>
      </c>
      <c r="X67" s="432">
        <f t="shared" si="12"/>
        <v>0</v>
      </c>
      <c r="Y67" s="432">
        <f t="shared" si="12"/>
        <v>0</v>
      </c>
      <c r="Z67" s="432">
        <f t="shared" si="12"/>
        <v>0</v>
      </c>
      <c r="AA67" s="432">
        <f t="shared" si="12"/>
        <v>0</v>
      </c>
      <c r="AB67" s="68"/>
    </row>
    <row r="68" spans="1:28" ht="3" customHeight="1" x14ac:dyDescent="0.25">
      <c r="A68" s="89">
        <f>I59</f>
        <v>1</v>
      </c>
      <c r="B68" s="436" t="s">
        <v>407</v>
      </c>
      <c r="C68" s="432">
        <f t="shared" si="13"/>
        <v>0</v>
      </c>
      <c r="D68" s="432">
        <f t="shared" si="12"/>
        <v>0</v>
      </c>
      <c r="E68" s="432">
        <f t="shared" si="12"/>
        <v>0</v>
      </c>
      <c r="F68" s="432">
        <f t="shared" si="12"/>
        <v>0</v>
      </c>
      <c r="G68" s="432">
        <f t="shared" si="12"/>
        <v>0</v>
      </c>
      <c r="H68" s="432">
        <f t="shared" si="12"/>
        <v>0</v>
      </c>
      <c r="I68" s="432">
        <f t="shared" si="12"/>
        <v>0</v>
      </c>
      <c r="J68" s="432">
        <f t="shared" si="12"/>
        <v>0</v>
      </c>
      <c r="K68" s="432">
        <f t="shared" si="12"/>
        <v>0</v>
      </c>
      <c r="L68" s="432">
        <f t="shared" si="12"/>
        <v>0</v>
      </c>
      <c r="M68" s="432">
        <f t="shared" si="12"/>
        <v>0</v>
      </c>
      <c r="N68" s="432">
        <f t="shared" si="12"/>
        <v>0</v>
      </c>
      <c r="O68" s="432">
        <f t="shared" si="12"/>
        <v>0</v>
      </c>
      <c r="P68" s="432">
        <f t="shared" si="12"/>
        <v>0</v>
      </c>
      <c r="Q68" s="432">
        <f t="shared" si="12"/>
        <v>0</v>
      </c>
      <c r="R68" s="432">
        <f t="shared" si="12"/>
        <v>0</v>
      </c>
      <c r="S68" s="432">
        <f t="shared" si="12"/>
        <v>0</v>
      </c>
      <c r="T68" s="432">
        <f t="shared" si="12"/>
        <v>0</v>
      </c>
      <c r="U68" s="432">
        <f t="shared" si="12"/>
        <v>0</v>
      </c>
      <c r="V68" s="432">
        <f t="shared" si="12"/>
        <v>0</v>
      </c>
      <c r="W68" s="432">
        <f t="shared" si="12"/>
        <v>0</v>
      </c>
      <c r="X68" s="432">
        <f t="shared" si="12"/>
        <v>0</v>
      </c>
      <c r="Y68" s="432">
        <f t="shared" si="12"/>
        <v>0</v>
      </c>
      <c r="Z68" s="432">
        <f t="shared" si="12"/>
        <v>0</v>
      </c>
      <c r="AA68" s="432">
        <f t="shared" si="12"/>
        <v>0</v>
      </c>
      <c r="AB68" s="68"/>
    </row>
    <row r="69" spans="1:28" ht="30" customHeight="1" x14ac:dyDescent="0.25">
      <c r="A69" s="535" t="s">
        <v>117</v>
      </c>
      <c r="B69" s="536"/>
      <c r="C69" s="85" t="s">
        <v>9</v>
      </c>
      <c r="D69" s="90" t="s">
        <v>11</v>
      </c>
      <c r="E69" s="85" t="s">
        <v>357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8" ht="30" x14ac:dyDescent="0.25">
      <c r="A70" s="297">
        <f>ABS(A64-1)</f>
        <v>0</v>
      </c>
      <c r="B70" s="296" t="s">
        <v>374</v>
      </c>
      <c r="C70" s="86">
        <f>NPV(Założenia_Predpoklady!$C$7,D64:AA64)+C64</f>
        <v>0</v>
      </c>
      <c r="D70" s="91" t="e">
        <f>1-C70/$C$72</f>
        <v>#DIV/0!</v>
      </c>
      <c r="E70" s="87" t="e">
        <f>IRR(C64:AA64,-0.3)</f>
        <v>#NUM!</v>
      </c>
      <c r="F70" s="89">
        <f>A64-1</f>
        <v>0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  <row r="71" spans="1:28" ht="30" x14ac:dyDescent="0.25">
      <c r="A71" s="297">
        <f t="shared" ref="A71:A74" si="14">ABS(A65-1)</f>
        <v>0</v>
      </c>
      <c r="B71" s="296" t="s">
        <v>374</v>
      </c>
      <c r="C71" s="86">
        <f>NPV(Założenia_Predpoklady!$C$7,D65:AA65)+C65</f>
        <v>0</v>
      </c>
      <c r="D71" s="91" t="e">
        <f t="shared" ref="D71:D74" si="15">1-C71/$C$72</f>
        <v>#DIV/0!</v>
      </c>
      <c r="E71" s="87" t="e">
        <f t="shared" ref="E71:E74" si="16">IRR(C65:AA65,-0.3)</f>
        <v>#NUM!</v>
      </c>
      <c r="F71" s="89">
        <f t="shared" ref="F71:F74" si="17">A65-1</f>
        <v>0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</row>
    <row r="72" spans="1:28" ht="30" x14ac:dyDescent="0.25">
      <c r="A72" s="297">
        <f t="shared" si="14"/>
        <v>0</v>
      </c>
      <c r="B72" s="296" t="s">
        <v>118</v>
      </c>
      <c r="C72" s="86">
        <f>NPV(Założenia_Predpoklady!$C$7,D66:AA66)+C66</f>
        <v>0</v>
      </c>
      <c r="D72" s="91" t="e">
        <f t="shared" si="15"/>
        <v>#DIV/0!</v>
      </c>
      <c r="E72" s="87" t="e">
        <f t="shared" si="16"/>
        <v>#NUM!</v>
      </c>
      <c r="F72" s="89">
        <f t="shared" si="17"/>
        <v>0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</row>
    <row r="73" spans="1:28" ht="30" x14ac:dyDescent="0.25">
      <c r="A73" s="297">
        <f t="shared" si="14"/>
        <v>0</v>
      </c>
      <c r="B73" s="296" t="s">
        <v>375</v>
      </c>
      <c r="C73" s="86">
        <f>NPV(Założenia_Predpoklady!$C$7,D67:AA67)+C67</f>
        <v>0</v>
      </c>
      <c r="D73" s="91" t="e">
        <f t="shared" si="15"/>
        <v>#DIV/0!</v>
      </c>
      <c r="E73" s="87" t="e">
        <f t="shared" si="16"/>
        <v>#NUM!</v>
      </c>
      <c r="F73" s="89">
        <f t="shared" si="17"/>
        <v>0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8" ht="30" x14ac:dyDescent="0.25">
      <c r="A74" s="297">
        <f t="shared" si="14"/>
        <v>0</v>
      </c>
      <c r="B74" s="296" t="s">
        <v>375</v>
      </c>
      <c r="C74" s="86">
        <f>NPV(Założenia_Predpoklady!$C$7,D68:AA68)+C68</f>
        <v>0</v>
      </c>
      <c r="D74" s="91" t="e">
        <f t="shared" si="15"/>
        <v>#DIV/0!</v>
      </c>
      <c r="E74" s="87" t="e">
        <f t="shared" si="16"/>
        <v>#NUM!</v>
      </c>
      <c r="F74" s="89">
        <f t="shared" si="17"/>
        <v>0</v>
      </c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8" x14ac:dyDescent="0.25">
      <c r="A75" s="67"/>
      <c r="B75" s="67"/>
      <c r="C75" s="67"/>
      <c r="D75" s="67"/>
      <c r="E75" s="68"/>
      <c r="F75" s="68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8" ht="30" customHeight="1" x14ac:dyDescent="0.25">
      <c r="A76" s="534" t="s">
        <v>217</v>
      </c>
      <c r="B76" s="534"/>
      <c r="C76" s="534"/>
      <c r="D76" s="67"/>
      <c r="E76" s="68"/>
      <c r="F76" s="68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8" ht="3" customHeight="1" x14ac:dyDescent="0.25">
      <c r="A77" s="89">
        <f>E60</f>
        <v>1</v>
      </c>
      <c r="B77" s="68" t="s">
        <v>408</v>
      </c>
      <c r="C77" s="432">
        <f>$A77*C$52-C$51-C$53</f>
        <v>0</v>
      </c>
      <c r="D77" s="432">
        <f t="shared" ref="D77:AA81" si="18">$A77*D$52-D$51-D$53</f>
        <v>0</v>
      </c>
      <c r="E77" s="432">
        <f t="shared" si="18"/>
        <v>0</v>
      </c>
      <c r="F77" s="432">
        <f t="shared" si="18"/>
        <v>0</v>
      </c>
      <c r="G77" s="432">
        <f t="shared" si="18"/>
        <v>0</v>
      </c>
      <c r="H77" s="432">
        <f t="shared" si="18"/>
        <v>0</v>
      </c>
      <c r="I77" s="432">
        <f t="shared" si="18"/>
        <v>0</v>
      </c>
      <c r="J77" s="432">
        <f t="shared" si="18"/>
        <v>0</v>
      </c>
      <c r="K77" s="432">
        <f t="shared" si="18"/>
        <v>0</v>
      </c>
      <c r="L77" s="432">
        <f t="shared" si="18"/>
        <v>0</v>
      </c>
      <c r="M77" s="432">
        <f t="shared" si="18"/>
        <v>0</v>
      </c>
      <c r="N77" s="432">
        <f t="shared" si="18"/>
        <v>0</v>
      </c>
      <c r="O77" s="432">
        <f t="shared" si="18"/>
        <v>0</v>
      </c>
      <c r="P77" s="432">
        <f t="shared" si="18"/>
        <v>0</v>
      </c>
      <c r="Q77" s="432">
        <f t="shared" si="18"/>
        <v>0</v>
      </c>
      <c r="R77" s="432">
        <f t="shared" si="18"/>
        <v>0</v>
      </c>
      <c r="S77" s="432">
        <f t="shared" si="18"/>
        <v>0</v>
      </c>
      <c r="T77" s="432">
        <f t="shared" si="18"/>
        <v>0</v>
      </c>
      <c r="U77" s="432">
        <f t="shared" si="18"/>
        <v>0</v>
      </c>
      <c r="V77" s="432">
        <f t="shared" si="18"/>
        <v>0</v>
      </c>
      <c r="W77" s="432">
        <f t="shared" si="18"/>
        <v>0</v>
      </c>
      <c r="X77" s="432">
        <f t="shared" si="18"/>
        <v>0</v>
      </c>
      <c r="Y77" s="432">
        <f t="shared" si="18"/>
        <v>0</v>
      </c>
      <c r="Z77" s="432">
        <f t="shared" si="18"/>
        <v>0</v>
      </c>
      <c r="AA77" s="432">
        <f t="shared" si="18"/>
        <v>0</v>
      </c>
      <c r="AB77" s="68"/>
    </row>
    <row r="78" spans="1:28" ht="3" customHeight="1" x14ac:dyDescent="0.25">
      <c r="A78" s="89">
        <f>F60</f>
        <v>1</v>
      </c>
      <c r="B78" s="68" t="s">
        <v>408</v>
      </c>
      <c r="C78" s="432">
        <f t="shared" ref="C78:C81" si="19">$A78*C$52-C$51-C$53</f>
        <v>0</v>
      </c>
      <c r="D78" s="432">
        <f t="shared" si="18"/>
        <v>0</v>
      </c>
      <c r="E78" s="432">
        <f t="shared" si="18"/>
        <v>0</v>
      </c>
      <c r="F78" s="432">
        <f t="shared" si="18"/>
        <v>0</v>
      </c>
      <c r="G78" s="432">
        <f t="shared" si="18"/>
        <v>0</v>
      </c>
      <c r="H78" s="432">
        <f t="shared" si="18"/>
        <v>0</v>
      </c>
      <c r="I78" s="432">
        <f t="shared" si="18"/>
        <v>0</v>
      </c>
      <c r="J78" s="432">
        <f t="shared" si="18"/>
        <v>0</v>
      </c>
      <c r="K78" s="432">
        <f t="shared" si="18"/>
        <v>0</v>
      </c>
      <c r="L78" s="432">
        <f t="shared" si="18"/>
        <v>0</v>
      </c>
      <c r="M78" s="432">
        <f t="shared" si="18"/>
        <v>0</v>
      </c>
      <c r="N78" s="432">
        <f t="shared" si="18"/>
        <v>0</v>
      </c>
      <c r="O78" s="432">
        <f t="shared" si="18"/>
        <v>0</v>
      </c>
      <c r="P78" s="432">
        <f t="shared" si="18"/>
        <v>0</v>
      </c>
      <c r="Q78" s="432">
        <f t="shared" si="18"/>
        <v>0</v>
      </c>
      <c r="R78" s="432">
        <f t="shared" si="18"/>
        <v>0</v>
      </c>
      <c r="S78" s="432">
        <f t="shared" si="18"/>
        <v>0</v>
      </c>
      <c r="T78" s="432">
        <f t="shared" si="18"/>
        <v>0</v>
      </c>
      <c r="U78" s="432">
        <f t="shared" si="18"/>
        <v>0</v>
      </c>
      <c r="V78" s="432">
        <f t="shared" si="18"/>
        <v>0</v>
      </c>
      <c r="W78" s="432">
        <f t="shared" si="18"/>
        <v>0</v>
      </c>
      <c r="X78" s="432">
        <f t="shared" si="18"/>
        <v>0</v>
      </c>
      <c r="Y78" s="432">
        <f t="shared" si="18"/>
        <v>0</v>
      </c>
      <c r="Z78" s="432">
        <f t="shared" si="18"/>
        <v>0</v>
      </c>
      <c r="AA78" s="432">
        <f t="shared" si="18"/>
        <v>0</v>
      </c>
      <c r="AB78" s="68"/>
    </row>
    <row r="79" spans="1:28" ht="3" customHeight="1" x14ac:dyDescent="0.25">
      <c r="A79" s="89">
        <f>G60</f>
        <v>1</v>
      </c>
      <c r="B79" s="68" t="s">
        <v>10</v>
      </c>
      <c r="C79" s="432">
        <f t="shared" si="19"/>
        <v>0</v>
      </c>
      <c r="D79" s="432">
        <f t="shared" si="18"/>
        <v>0</v>
      </c>
      <c r="E79" s="432">
        <f t="shared" si="18"/>
        <v>0</v>
      </c>
      <c r="F79" s="432">
        <f t="shared" si="18"/>
        <v>0</v>
      </c>
      <c r="G79" s="432">
        <f t="shared" si="18"/>
        <v>0</v>
      </c>
      <c r="H79" s="432">
        <f t="shared" si="18"/>
        <v>0</v>
      </c>
      <c r="I79" s="432">
        <f t="shared" si="18"/>
        <v>0</v>
      </c>
      <c r="J79" s="432">
        <f t="shared" si="18"/>
        <v>0</v>
      </c>
      <c r="K79" s="432">
        <f t="shared" si="18"/>
        <v>0</v>
      </c>
      <c r="L79" s="432">
        <f t="shared" si="18"/>
        <v>0</v>
      </c>
      <c r="M79" s="432">
        <f t="shared" si="18"/>
        <v>0</v>
      </c>
      <c r="N79" s="432">
        <f t="shared" si="18"/>
        <v>0</v>
      </c>
      <c r="O79" s="432">
        <f t="shared" si="18"/>
        <v>0</v>
      </c>
      <c r="P79" s="432">
        <f t="shared" si="18"/>
        <v>0</v>
      </c>
      <c r="Q79" s="432">
        <f t="shared" si="18"/>
        <v>0</v>
      </c>
      <c r="R79" s="432">
        <f t="shared" si="18"/>
        <v>0</v>
      </c>
      <c r="S79" s="432">
        <f t="shared" si="18"/>
        <v>0</v>
      </c>
      <c r="T79" s="432">
        <f t="shared" si="18"/>
        <v>0</v>
      </c>
      <c r="U79" s="432">
        <f t="shared" si="18"/>
        <v>0</v>
      </c>
      <c r="V79" s="432">
        <f t="shared" si="18"/>
        <v>0</v>
      </c>
      <c r="W79" s="432">
        <f t="shared" si="18"/>
        <v>0</v>
      </c>
      <c r="X79" s="432">
        <f t="shared" si="18"/>
        <v>0</v>
      </c>
      <c r="Y79" s="432">
        <f t="shared" si="18"/>
        <v>0</v>
      </c>
      <c r="Z79" s="432">
        <f t="shared" si="18"/>
        <v>0</v>
      </c>
      <c r="AA79" s="432">
        <f t="shared" si="18"/>
        <v>0</v>
      </c>
      <c r="AB79" s="68"/>
    </row>
    <row r="80" spans="1:28" ht="3" customHeight="1" x14ac:dyDescent="0.25">
      <c r="A80" s="89">
        <f>H60</f>
        <v>1</v>
      </c>
      <c r="B80" s="68" t="s">
        <v>409</v>
      </c>
      <c r="C80" s="432">
        <f t="shared" si="19"/>
        <v>0</v>
      </c>
      <c r="D80" s="432">
        <f t="shared" si="18"/>
        <v>0</v>
      </c>
      <c r="E80" s="432">
        <f t="shared" si="18"/>
        <v>0</v>
      </c>
      <c r="F80" s="432">
        <f t="shared" si="18"/>
        <v>0</v>
      </c>
      <c r="G80" s="432">
        <f t="shared" si="18"/>
        <v>0</v>
      </c>
      <c r="H80" s="432">
        <f t="shared" si="18"/>
        <v>0</v>
      </c>
      <c r="I80" s="432">
        <f t="shared" si="18"/>
        <v>0</v>
      </c>
      <c r="J80" s="432">
        <f t="shared" si="18"/>
        <v>0</v>
      </c>
      <c r="K80" s="432">
        <f t="shared" si="18"/>
        <v>0</v>
      </c>
      <c r="L80" s="432">
        <f t="shared" si="18"/>
        <v>0</v>
      </c>
      <c r="M80" s="432">
        <f t="shared" si="18"/>
        <v>0</v>
      </c>
      <c r="N80" s="432">
        <f t="shared" si="18"/>
        <v>0</v>
      </c>
      <c r="O80" s="432">
        <f t="shared" si="18"/>
        <v>0</v>
      </c>
      <c r="P80" s="432">
        <f t="shared" si="18"/>
        <v>0</v>
      </c>
      <c r="Q80" s="432">
        <f t="shared" si="18"/>
        <v>0</v>
      </c>
      <c r="R80" s="432">
        <f t="shared" si="18"/>
        <v>0</v>
      </c>
      <c r="S80" s="432">
        <f t="shared" si="18"/>
        <v>0</v>
      </c>
      <c r="T80" s="432">
        <f t="shared" si="18"/>
        <v>0</v>
      </c>
      <c r="U80" s="432">
        <f t="shared" si="18"/>
        <v>0</v>
      </c>
      <c r="V80" s="432">
        <f t="shared" si="18"/>
        <v>0</v>
      </c>
      <c r="W80" s="432">
        <f t="shared" si="18"/>
        <v>0</v>
      </c>
      <c r="X80" s="432">
        <f t="shared" si="18"/>
        <v>0</v>
      </c>
      <c r="Y80" s="432">
        <f t="shared" si="18"/>
        <v>0</v>
      </c>
      <c r="Z80" s="432">
        <f t="shared" si="18"/>
        <v>0</v>
      </c>
      <c r="AA80" s="432">
        <f t="shared" si="18"/>
        <v>0</v>
      </c>
      <c r="AB80" s="68"/>
    </row>
    <row r="81" spans="1:28" ht="3" customHeight="1" x14ac:dyDescent="0.25">
      <c r="A81" s="89">
        <f>I60</f>
        <v>1</v>
      </c>
      <c r="B81" s="68" t="s">
        <v>409</v>
      </c>
      <c r="C81" s="432">
        <f t="shared" si="19"/>
        <v>0</v>
      </c>
      <c r="D81" s="432">
        <f t="shared" si="18"/>
        <v>0</v>
      </c>
      <c r="E81" s="432">
        <f t="shared" si="18"/>
        <v>0</v>
      </c>
      <c r="F81" s="432">
        <f t="shared" si="18"/>
        <v>0</v>
      </c>
      <c r="G81" s="432">
        <f t="shared" si="18"/>
        <v>0</v>
      </c>
      <c r="H81" s="432">
        <f t="shared" si="18"/>
        <v>0</v>
      </c>
      <c r="I81" s="432">
        <f t="shared" si="18"/>
        <v>0</v>
      </c>
      <c r="J81" s="432">
        <f t="shared" si="18"/>
        <v>0</v>
      </c>
      <c r="K81" s="432">
        <f t="shared" si="18"/>
        <v>0</v>
      </c>
      <c r="L81" s="432">
        <f t="shared" si="18"/>
        <v>0</v>
      </c>
      <c r="M81" s="432">
        <f t="shared" si="18"/>
        <v>0</v>
      </c>
      <c r="N81" s="432">
        <f t="shared" si="18"/>
        <v>0</v>
      </c>
      <c r="O81" s="432">
        <f t="shared" si="18"/>
        <v>0</v>
      </c>
      <c r="P81" s="432">
        <f t="shared" si="18"/>
        <v>0</v>
      </c>
      <c r="Q81" s="432">
        <f t="shared" si="18"/>
        <v>0</v>
      </c>
      <c r="R81" s="432">
        <f t="shared" si="18"/>
        <v>0</v>
      </c>
      <c r="S81" s="432">
        <f t="shared" si="18"/>
        <v>0</v>
      </c>
      <c r="T81" s="432">
        <f t="shared" si="18"/>
        <v>0</v>
      </c>
      <c r="U81" s="432">
        <f t="shared" si="18"/>
        <v>0</v>
      </c>
      <c r="V81" s="432">
        <f t="shared" si="18"/>
        <v>0</v>
      </c>
      <c r="W81" s="432">
        <f t="shared" si="18"/>
        <v>0</v>
      </c>
      <c r="X81" s="432">
        <f t="shared" si="18"/>
        <v>0</v>
      </c>
      <c r="Y81" s="432">
        <f t="shared" si="18"/>
        <v>0</v>
      </c>
      <c r="Z81" s="432">
        <f t="shared" si="18"/>
        <v>0</v>
      </c>
      <c r="AA81" s="432">
        <f t="shared" si="18"/>
        <v>0</v>
      </c>
      <c r="AB81" s="68"/>
    </row>
    <row r="82" spans="1:28" ht="30" customHeight="1" x14ac:dyDescent="0.25">
      <c r="A82" s="535" t="s">
        <v>117</v>
      </c>
      <c r="B82" s="536"/>
      <c r="C82" s="85" t="str">
        <f>C69</f>
        <v>FNPV/c</v>
      </c>
      <c r="D82" s="85" t="str">
        <f t="shared" ref="D82:E82" si="20">D69</f>
        <v>∆</v>
      </c>
      <c r="E82" s="85" t="str">
        <f t="shared" si="20"/>
        <v>FRR/c</v>
      </c>
      <c r="F82" s="68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8" ht="30" x14ac:dyDescent="0.25">
      <c r="A83" s="297">
        <f>ABS(A77-1)</f>
        <v>0</v>
      </c>
      <c r="B83" s="296" t="s">
        <v>218</v>
      </c>
      <c r="C83" s="86">
        <f>NPV(Założenia_Predpoklady!$C$7,D77:AA77)+C77</f>
        <v>0</v>
      </c>
      <c r="D83" s="91" t="e">
        <f>1-C83/$C$85</f>
        <v>#DIV/0!</v>
      </c>
      <c r="E83" s="87" t="e">
        <f>IRR(C77:AA77,-0.3)</f>
        <v>#NUM!</v>
      </c>
      <c r="F83" s="89">
        <f>A77-1</f>
        <v>0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8" ht="30" x14ac:dyDescent="0.25">
      <c r="A84" s="297">
        <f t="shared" ref="A84:A87" si="21">ABS(A78-1)</f>
        <v>0</v>
      </c>
      <c r="B84" s="296" t="s">
        <v>218</v>
      </c>
      <c r="C84" s="86">
        <f>NPV(Założenia_Predpoklady!$C$7,D78:AA78)+C78</f>
        <v>0</v>
      </c>
      <c r="D84" s="91" t="e">
        <f t="shared" ref="D84:D87" si="22">1-C84/$C$85</f>
        <v>#DIV/0!</v>
      </c>
      <c r="E84" s="87" t="e">
        <f t="shared" ref="E84:E87" si="23">IRR(C78:AA78,-0.3)</f>
        <v>#NUM!</v>
      </c>
      <c r="F84" s="89">
        <f t="shared" ref="F84:F87" si="24">A78-1</f>
        <v>0</v>
      </c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8" ht="30" x14ac:dyDescent="0.25">
      <c r="A85" s="297">
        <f t="shared" si="21"/>
        <v>0</v>
      </c>
      <c r="B85" s="296" t="s">
        <v>118</v>
      </c>
      <c r="C85" s="86">
        <f>NPV(Założenia_Predpoklady!$C$7,D79:AA79)+C79</f>
        <v>0</v>
      </c>
      <c r="D85" s="91" t="e">
        <f t="shared" si="22"/>
        <v>#DIV/0!</v>
      </c>
      <c r="E85" s="87" t="e">
        <f t="shared" si="23"/>
        <v>#NUM!</v>
      </c>
      <c r="F85" s="89">
        <f t="shared" si="24"/>
        <v>0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8" ht="30" x14ac:dyDescent="0.25">
      <c r="A86" s="297">
        <f t="shared" si="21"/>
        <v>0</v>
      </c>
      <c r="B86" s="296" t="s">
        <v>219</v>
      </c>
      <c r="C86" s="86">
        <f>NPV(Założenia_Predpoklady!$C$7,D80:AA80)+C80</f>
        <v>0</v>
      </c>
      <c r="D86" s="91" t="e">
        <f t="shared" si="22"/>
        <v>#DIV/0!</v>
      </c>
      <c r="E86" s="87" t="e">
        <f t="shared" si="23"/>
        <v>#NUM!</v>
      </c>
      <c r="F86" s="89">
        <f t="shared" si="24"/>
        <v>0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8" ht="30" x14ac:dyDescent="0.25">
      <c r="A87" s="297">
        <f t="shared" si="21"/>
        <v>0</v>
      </c>
      <c r="B87" s="296" t="s">
        <v>219</v>
      </c>
      <c r="C87" s="86">
        <f>NPV(Założenia_Predpoklady!$C$7,D81:AA81)+C81</f>
        <v>0</v>
      </c>
      <c r="D87" s="91" t="e">
        <f t="shared" si="22"/>
        <v>#DIV/0!</v>
      </c>
      <c r="E87" s="87" t="e">
        <f t="shared" si="23"/>
        <v>#NUM!</v>
      </c>
      <c r="F87" s="89">
        <f t="shared" si="24"/>
        <v>0</v>
      </c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8" x14ac:dyDescent="0.25">
      <c r="A88" s="67"/>
      <c r="B88" s="67"/>
      <c r="C88" s="67"/>
      <c r="D88" s="67"/>
      <c r="E88" s="68"/>
      <c r="F88" s="68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</row>
    <row r="89" spans="1:28" ht="30" customHeight="1" x14ac:dyDescent="0.25">
      <c r="A89" s="534" t="s">
        <v>121</v>
      </c>
      <c r="B89" s="534"/>
      <c r="C89" s="534"/>
      <c r="D89" s="67"/>
      <c r="E89" s="68"/>
      <c r="F89" s="68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</row>
    <row r="90" spans="1:28" ht="3" customHeight="1" x14ac:dyDescent="0.25">
      <c r="A90" s="89">
        <f>E61</f>
        <v>1</v>
      </c>
      <c r="B90" s="68" t="s">
        <v>410</v>
      </c>
      <c r="C90" s="432">
        <f t="shared" ref="C90:AA90" si="25">-$A90*C$53-C$51+C$52</f>
        <v>0</v>
      </c>
      <c r="D90" s="432">
        <f t="shared" si="25"/>
        <v>0</v>
      </c>
      <c r="E90" s="432">
        <f t="shared" si="25"/>
        <v>0</v>
      </c>
      <c r="F90" s="432">
        <f t="shared" si="25"/>
        <v>0</v>
      </c>
      <c r="G90" s="432">
        <f t="shared" si="25"/>
        <v>0</v>
      </c>
      <c r="H90" s="432">
        <f t="shared" si="25"/>
        <v>0</v>
      </c>
      <c r="I90" s="432">
        <f t="shared" si="25"/>
        <v>0</v>
      </c>
      <c r="J90" s="432">
        <f t="shared" si="25"/>
        <v>0</v>
      </c>
      <c r="K90" s="432">
        <f t="shared" si="25"/>
        <v>0</v>
      </c>
      <c r="L90" s="432">
        <f t="shared" si="25"/>
        <v>0</v>
      </c>
      <c r="M90" s="432">
        <f t="shared" si="25"/>
        <v>0</v>
      </c>
      <c r="N90" s="432">
        <f t="shared" si="25"/>
        <v>0</v>
      </c>
      <c r="O90" s="432">
        <f t="shared" si="25"/>
        <v>0</v>
      </c>
      <c r="P90" s="432">
        <f t="shared" si="25"/>
        <v>0</v>
      </c>
      <c r="Q90" s="432">
        <f t="shared" si="25"/>
        <v>0</v>
      </c>
      <c r="R90" s="432">
        <f t="shared" si="25"/>
        <v>0</v>
      </c>
      <c r="S90" s="432">
        <f t="shared" si="25"/>
        <v>0</v>
      </c>
      <c r="T90" s="432">
        <f t="shared" si="25"/>
        <v>0</v>
      </c>
      <c r="U90" s="432">
        <f t="shared" si="25"/>
        <v>0</v>
      </c>
      <c r="V90" s="432">
        <f t="shared" si="25"/>
        <v>0</v>
      </c>
      <c r="W90" s="432">
        <f t="shared" si="25"/>
        <v>0</v>
      </c>
      <c r="X90" s="432">
        <f t="shared" si="25"/>
        <v>0</v>
      </c>
      <c r="Y90" s="432">
        <f t="shared" si="25"/>
        <v>0</v>
      </c>
      <c r="Z90" s="432">
        <f t="shared" si="25"/>
        <v>0</v>
      </c>
      <c r="AA90" s="432">
        <f t="shared" si="25"/>
        <v>0</v>
      </c>
      <c r="AB90" s="68"/>
    </row>
    <row r="91" spans="1:28" ht="3" customHeight="1" x14ac:dyDescent="0.25">
      <c r="A91" s="89">
        <f>F61</f>
        <v>1</v>
      </c>
      <c r="B91" s="68" t="s">
        <v>411</v>
      </c>
      <c r="C91" s="432">
        <f t="shared" ref="C91:C94" si="26">-$A91*C$53-C$51+C$52</f>
        <v>0</v>
      </c>
      <c r="D91" s="432">
        <f t="shared" ref="D91:M94" si="27">-$A91*D$53-D$51+D$52</f>
        <v>0</v>
      </c>
      <c r="E91" s="432">
        <f t="shared" si="27"/>
        <v>0</v>
      </c>
      <c r="F91" s="432">
        <f t="shared" si="27"/>
        <v>0</v>
      </c>
      <c r="G91" s="432">
        <f t="shared" si="27"/>
        <v>0</v>
      </c>
      <c r="H91" s="432">
        <f t="shared" si="27"/>
        <v>0</v>
      </c>
      <c r="I91" s="432">
        <f t="shared" si="27"/>
        <v>0</v>
      </c>
      <c r="J91" s="432">
        <f t="shared" si="27"/>
        <v>0</v>
      </c>
      <c r="K91" s="432">
        <f t="shared" si="27"/>
        <v>0</v>
      </c>
      <c r="L91" s="432">
        <f t="shared" si="27"/>
        <v>0</v>
      </c>
      <c r="M91" s="432">
        <f t="shared" si="27"/>
        <v>0</v>
      </c>
      <c r="N91" s="432">
        <f t="shared" ref="N91:AA94" si="28">-$A91*N$53-N$51+N$52</f>
        <v>0</v>
      </c>
      <c r="O91" s="432">
        <f t="shared" si="28"/>
        <v>0</v>
      </c>
      <c r="P91" s="432">
        <f t="shared" si="28"/>
        <v>0</v>
      </c>
      <c r="Q91" s="432">
        <f t="shared" si="28"/>
        <v>0</v>
      </c>
      <c r="R91" s="432">
        <f t="shared" si="28"/>
        <v>0</v>
      </c>
      <c r="S91" s="432">
        <f t="shared" si="28"/>
        <v>0</v>
      </c>
      <c r="T91" s="432">
        <f t="shared" si="28"/>
        <v>0</v>
      </c>
      <c r="U91" s="432">
        <f t="shared" si="28"/>
        <v>0</v>
      </c>
      <c r="V91" s="432">
        <f t="shared" si="28"/>
        <v>0</v>
      </c>
      <c r="W91" s="432">
        <f t="shared" si="28"/>
        <v>0</v>
      </c>
      <c r="X91" s="432">
        <f t="shared" si="28"/>
        <v>0</v>
      </c>
      <c r="Y91" s="432">
        <f t="shared" si="28"/>
        <v>0</v>
      </c>
      <c r="Z91" s="432">
        <f t="shared" si="28"/>
        <v>0</v>
      </c>
      <c r="AA91" s="432">
        <f t="shared" si="28"/>
        <v>0</v>
      </c>
      <c r="AB91" s="68"/>
    </row>
    <row r="92" spans="1:28" ht="3" customHeight="1" x14ac:dyDescent="0.25">
      <c r="A92" s="89">
        <f>G61</f>
        <v>1</v>
      </c>
      <c r="B92" s="68" t="s">
        <v>10</v>
      </c>
      <c r="C92" s="432">
        <f t="shared" si="26"/>
        <v>0</v>
      </c>
      <c r="D92" s="432">
        <f t="shared" si="27"/>
        <v>0</v>
      </c>
      <c r="E92" s="432">
        <f t="shared" si="27"/>
        <v>0</v>
      </c>
      <c r="F92" s="432">
        <f t="shared" si="27"/>
        <v>0</v>
      </c>
      <c r="G92" s="432">
        <f t="shared" si="27"/>
        <v>0</v>
      </c>
      <c r="H92" s="432">
        <f t="shared" si="27"/>
        <v>0</v>
      </c>
      <c r="I92" s="432">
        <f t="shared" si="27"/>
        <v>0</v>
      </c>
      <c r="J92" s="432">
        <f t="shared" si="27"/>
        <v>0</v>
      </c>
      <c r="K92" s="432">
        <f t="shared" si="27"/>
        <v>0</v>
      </c>
      <c r="L92" s="432">
        <f t="shared" si="27"/>
        <v>0</v>
      </c>
      <c r="M92" s="432">
        <f t="shared" si="27"/>
        <v>0</v>
      </c>
      <c r="N92" s="432">
        <f t="shared" si="28"/>
        <v>0</v>
      </c>
      <c r="O92" s="432">
        <f t="shared" si="28"/>
        <v>0</v>
      </c>
      <c r="P92" s="432">
        <f t="shared" si="28"/>
        <v>0</v>
      </c>
      <c r="Q92" s="432">
        <f t="shared" si="28"/>
        <v>0</v>
      </c>
      <c r="R92" s="432">
        <f t="shared" si="28"/>
        <v>0</v>
      </c>
      <c r="S92" s="432">
        <f t="shared" si="28"/>
        <v>0</v>
      </c>
      <c r="T92" s="432">
        <f t="shared" si="28"/>
        <v>0</v>
      </c>
      <c r="U92" s="432">
        <f t="shared" si="28"/>
        <v>0</v>
      </c>
      <c r="V92" s="432">
        <f t="shared" si="28"/>
        <v>0</v>
      </c>
      <c r="W92" s="432">
        <f t="shared" si="28"/>
        <v>0</v>
      </c>
      <c r="X92" s="432">
        <f t="shared" si="28"/>
        <v>0</v>
      </c>
      <c r="Y92" s="432">
        <f t="shared" si="28"/>
        <v>0</v>
      </c>
      <c r="Z92" s="432">
        <f t="shared" si="28"/>
        <v>0</v>
      </c>
      <c r="AA92" s="432">
        <f t="shared" si="28"/>
        <v>0</v>
      </c>
      <c r="AB92" s="68"/>
    </row>
    <row r="93" spans="1:28" ht="3" customHeight="1" x14ac:dyDescent="0.25">
      <c r="A93" s="89">
        <f>H61</f>
        <v>1</v>
      </c>
      <c r="B93" s="68" t="s">
        <v>412</v>
      </c>
      <c r="C93" s="432">
        <f t="shared" si="26"/>
        <v>0</v>
      </c>
      <c r="D93" s="432">
        <f t="shared" si="27"/>
        <v>0</v>
      </c>
      <c r="E93" s="432">
        <f t="shared" si="27"/>
        <v>0</v>
      </c>
      <c r="F93" s="432">
        <f t="shared" si="27"/>
        <v>0</v>
      </c>
      <c r="G93" s="432">
        <f t="shared" si="27"/>
        <v>0</v>
      </c>
      <c r="H93" s="432">
        <f t="shared" si="27"/>
        <v>0</v>
      </c>
      <c r="I93" s="432">
        <f t="shared" si="27"/>
        <v>0</v>
      </c>
      <c r="J93" s="432">
        <f t="shared" si="27"/>
        <v>0</v>
      </c>
      <c r="K93" s="432">
        <f t="shared" si="27"/>
        <v>0</v>
      </c>
      <c r="L93" s="432">
        <f t="shared" si="27"/>
        <v>0</v>
      </c>
      <c r="M93" s="432">
        <f t="shared" si="27"/>
        <v>0</v>
      </c>
      <c r="N93" s="432">
        <f t="shared" si="28"/>
        <v>0</v>
      </c>
      <c r="O93" s="432">
        <f t="shared" si="28"/>
        <v>0</v>
      </c>
      <c r="P93" s="432">
        <f t="shared" si="28"/>
        <v>0</v>
      </c>
      <c r="Q93" s="432">
        <f t="shared" si="28"/>
        <v>0</v>
      </c>
      <c r="R93" s="432">
        <f t="shared" si="28"/>
        <v>0</v>
      </c>
      <c r="S93" s="432">
        <f t="shared" si="28"/>
        <v>0</v>
      </c>
      <c r="T93" s="432">
        <f t="shared" si="28"/>
        <v>0</v>
      </c>
      <c r="U93" s="432">
        <f t="shared" si="28"/>
        <v>0</v>
      </c>
      <c r="V93" s="432">
        <f t="shared" si="28"/>
        <v>0</v>
      </c>
      <c r="W93" s="432">
        <f t="shared" si="28"/>
        <v>0</v>
      </c>
      <c r="X93" s="432">
        <f t="shared" si="28"/>
        <v>0</v>
      </c>
      <c r="Y93" s="432">
        <f t="shared" si="28"/>
        <v>0</v>
      </c>
      <c r="Z93" s="432">
        <f t="shared" si="28"/>
        <v>0</v>
      </c>
      <c r="AA93" s="432">
        <f t="shared" si="28"/>
        <v>0</v>
      </c>
      <c r="AB93" s="68"/>
    </row>
    <row r="94" spans="1:28" ht="3" customHeight="1" x14ac:dyDescent="0.25">
      <c r="A94" s="89">
        <f>I61</f>
        <v>1</v>
      </c>
      <c r="B94" s="68" t="s">
        <v>413</v>
      </c>
      <c r="C94" s="432">
        <f t="shared" si="26"/>
        <v>0</v>
      </c>
      <c r="D94" s="432">
        <f t="shared" si="27"/>
        <v>0</v>
      </c>
      <c r="E94" s="432">
        <f t="shared" si="27"/>
        <v>0</v>
      </c>
      <c r="F94" s="432">
        <f t="shared" si="27"/>
        <v>0</v>
      </c>
      <c r="G94" s="432">
        <f t="shared" si="27"/>
        <v>0</v>
      </c>
      <c r="H94" s="432">
        <f t="shared" si="27"/>
        <v>0</v>
      </c>
      <c r="I94" s="432">
        <f t="shared" si="27"/>
        <v>0</v>
      </c>
      <c r="J94" s="432">
        <f t="shared" si="27"/>
        <v>0</v>
      </c>
      <c r="K94" s="432">
        <f t="shared" si="27"/>
        <v>0</v>
      </c>
      <c r="L94" s="432">
        <f t="shared" si="27"/>
        <v>0</v>
      </c>
      <c r="M94" s="432">
        <f t="shared" si="27"/>
        <v>0</v>
      </c>
      <c r="N94" s="432">
        <f t="shared" si="28"/>
        <v>0</v>
      </c>
      <c r="O94" s="432">
        <f t="shared" si="28"/>
        <v>0</v>
      </c>
      <c r="P94" s="432">
        <f t="shared" si="28"/>
        <v>0</v>
      </c>
      <c r="Q94" s="432">
        <f t="shared" si="28"/>
        <v>0</v>
      </c>
      <c r="R94" s="432">
        <f t="shared" si="28"/>
        <v>0</v>
      </c>
      <c r="S94" s="432">
        <f t="shared" si="28"/>
        <v>0</v>
      </c>
      <c r="T94" s="432">
        <f t="shared" si="28"/>
        <v>0</v>
      </c>
      <c r="U94" s="432">
        <f t="shared" si="28"/>
        <v>0</v>
      </c>
      <c r="V94" s="432">
        <f t="shared" si="28"/>
        <v>0</v>
      </c>
      <c r="W94" s="432">
        <f t="shared" si="28"/>
        <v>0</v>
      </c>
      <c r="X94" s="432">
        <f t="shared" si="28"/>
        <v>0</v>
      </c>
      <c r="Y94" s="432">
        <f t="shared" si="28"/>
        <v>0</v>
      </c>
      <c r="Z94" s="432">
        <f t="shared" si="28"/>
        <v>0</v>
      </c>
      <c r="AA94" s="432">
        <f t="shared" si="28"/>
        <v>0</v>
      </c>
      <c r="AB94" s="68"/>
    </row>
    <row r="95" spans="1:28" ht="30" customHeight="1" x14ac:dyDescent="0.25">
      <c r="A95" s="535" t="s">
        <v>117</v>
      </c>
      <c r="B95" s="536"/>
      <c r="C95" s="85" t="str">
        <f>C69</f>
        <v>FNPV/c</v>
      </c>
      <c r="D95" s="85" t="str">
        <f t="shared" ref="D95:E95" si="29">D69</f>
        <v>∆</v>
      </c>
      <c r="E95" s="85" t="str">
        <f t="shared" si="29"/>
        <v>FRR/c</v>
      </c>
      <c r="F95" s="68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8" ht="30" x14ac:dyDescent="0.25">
      <c r="A96" s="297">
        <f>ABS(A90-1)</f>
        <v>0</v>
      </c>
      <c r="B96" s="296" t="s">
        <v>119</v>
      </c>
      <c r="C96" s="86">
        <f>NPV(Założenia_Predpoklady!$C$7,D90:AA90)+C90</f>
        <v>0</v>
      </c>
      <c r="D96" s="91" t="e">
        <f>1-C96/$C$98</f>
        <v>#DIV/0!</v>
      </c>
      <c r="E96" s="87" t="e">
        <f>IRR(C90:AA90,-0.3)</f>
        <v>#NUM!</v>
      </c>
      <c r="F96" s="89">
        <f>A90-1</f>
        <v>0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30" x14ac:dyDescent="0.25">
      <c r="A97" s="297">
        <f t="shared" ref="A97:A100" si="30">ABS(A91-1)</f>
        <v>0</v>
      </c>
      <c r="B97" s="296" t="s">
        <v>119</v>
      </c>
      <c r="C97" s="86">
        <f>NPV(Założenia_Predpoklady!$C$7,D91:AA91)+C91</f>
        <v>0</v>
      </c>
      <c r="D97" s="91" t="e">
        <f t="shared" ref="D97:D100" si="31">1-C97/$C$98</f>
        <v>#DIV/0!</v>
      </c>
      <c r="E97" s="87" t="e">
        <f t="shared" ref="E97:E100" si="32">IRR(C91:AA91,-0.3)</f>
        <v>#NUM!</v>
      </c>
      <c r="F97" s="89">
        <f t="shared" ref="F97:F100" si="33">A91-1</f>
        <v>0</v>
      </c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30" x14ac:dyDescent="0.25">
      <c r="A98" s="297">
        <f t="shared" si="30"/>
        <v>0</v>
      </c>
      <c r="B98" s="296" t="s">
        <v>118</v>
      </c>
      <c r="C98" s="86">
        <f>NPV(Założenia_Predpoklady!$C$7,D92:AA92)+C92</f>
        <v>0</v>
      </c>
      <c r="D98" s="91" t="e">
        <f t="shared" si="31"/>
        <v>#DIV/0!</v>
      </c>
      <c r="E98" s="87" t="e">
        <f t="shared" si="32"/>
        <v>#NUM!</v>
      </c>
      <c r="F98" s="89">
        <f t="shared" si="33"/>
        <v>0</v>
      </c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30" x14ac:dyDescent="0.25">
      <c r="A99" s="297">
        <f t="shared" si="30"/>
        <v>0</v>
      </c>
      <c r="B99" s="296" t="s">
        <v>120</v>
      </c>
      <c r="C99" s="86">
        <f>NPV(Założenia_Predpoklady!$C$7,D93:AA93)+C93</f>
        <v>0</v>
      </c>
      <c r="D99" s="91" t="e">
        <f t="shared" si="31"/>
        <v>#DIV/0!</v>
      </c>
      <c r="E99" s="87" t="e">
        <f t="shared" si="32"/>
        <v>#NUM!</v>
      </c>
      <c r="F99" s="89">
        <f t="shared" si="33"/>
        <v>0</v>
      </c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30" x14ac:dyDescent="0.25">
      <c r="A100" s="297">
        <f t="shared" si="30"/>
        <v>0</v>
      </c>
      <c r="B100" s="296" t="s">
        <v>120</v>
      </c>
      <c r="C100" s="86">
        <f>NPV(Założenia_Predpoklady!$C$7,D94:AA94)+C94</f>
        <v>0</v>
      </c>
      <c r="D100" s="91" t="e">
        <f t="shared" si="31"/>
        <v>#DIV/0!</v>
      </c>
      <c r="E100" s="87" t="e">
        <f t="shared" si="32"/>
        <v>#NUM!</v>
      </c>
      <c r="F100" s="89">
        <f t="shared" si="33"/>
        <v>0</v>
      </c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</row>
    <row r="101" spans="1:21" x14ac:dyDescent="0.2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1:21" x14ac:dyDescent="0.2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1:21" x14ac:dyDescent="0.2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1:21" x14ac:dyDescent="0.2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1:21" x14ac:dyDescent="0.2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1:21" x14ac:dyDescent="0.2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1:21" x14ac:dyDescent="0.2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1:21" x14ac:dyDescent="0.2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1:21" x14ac:dyDescent="0.2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1:21" x14ac:dyDescent="0.2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1:21" x14ac:dyDescent="0.2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</sheetData>
  <sheetProtection sheet="1" objects="1" scenarios="1" formatCells="0" formatColumns="0" formatRows="0" insertRows="0" deleteRows="0" selectLockedCells="1"/>
  <dataConsolidate/>
  <mergeCells count="15">
    <mergeCell ref="A89:C89"/>
    <mergeCell ref="C1:O1"/>
    <mergeCell ref="A69:B69"/>
    <mergeCell ref="A82:B82"/>
    <mergeCell ref="A95:B95"/>
    <mergeCell ref="A1:B1"/>
    <mergeCell ref="A3:C3"/>
    <mergeCell ref="A6:C6"/>
    <mergeCell ref="A22:C22"/>
    <mergeCell ref="A32:C32"/>
    <mergeCell ref="A35:C35"/>
    <mergeCell ref="A46:C46"/>
    <mergeCell ref="A49:C49"/>
    <mergeCell ref="A63:C63"/>
    <mergeCell ref="A76:C76"/>
  </mergeCells>
  <conditionalFormatting sqref="C1">
    <cfRule type="cellIs" dxfId="13" priority="9" operator="equal">
      <formula>0</formula>
    </cfRule>
  </conditionalFormatting>
  <conditionalFormatting sqref="C47 C33:C34">
    <cfRule type="containsText" dxfId="12" priority="8" operator="containsText" text="brak">
      <formula>NOT(ISERROR(SEARCH("brak",C33)))</formula>
    </cfRule>
  </conditionalFormatting>
  <conditionalFormatting sqref="C23:AA30 C36:AA44">
    <cfRule type="cellIs" dxfId="11" priority="6" operator="equal">
      <formula>0</formula>
    </cfRule>
  </conditionalFormatting>
  <dataValidations xWindow="141" yWindow="722" count="2">
    <dataValidation type="list" allowBlank="1" showInputMessage="1" showErrorMessage="1" prompt="Wybierz z listy._x000a_Vybrať zo zoznamu." sqref="C59:C61">
      <formula1>$F$58:$I$58</formula1>
    </dataValidation>
    <dataValidation type="decimal" allowBlank="1" showInputMessage="1" showErrorMessage="1" prompt="Podaj wartość (0-100%)._x000a_Zadajte hodnotu (0-100%)." sqref="C4">
      <formula1>0</formula1>
      <formula2>1</formula2>
    </dataValidation>
  </dataValidations>
  <pageMargins left="0.7" right="0.7" top="0.75" bottom="0.75" header="0.3" footer="0.3"/>
  <pageSetup paperSize="9" scale="28" orientation="landscape" r:id="rId1"/>
  <rowBreaks count="2" manualBreakCount="2">
    <brk id="47" max="16383" man="1"/>
    <brk id="1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AE51"/>
  <sheetViews>
    <sheetView showGridLines="0" view="pageBreakPreview" topLeftCell="Q37" zoomScaleNormal="100" zoomScaleSheetLayoutView="100" workbookViewId="0">
      <selection activeCell="T33" sqref="T33"/>
    </sheetView>
  </sheetViews>
  <sheetFormatPr defaultRowHeight="15" x14ac:dyDescent="0.25"/>
  <cols>
    <col min="1" max="1" width="4.140625" customWidth="1"/>
    <col min="2" max="2" width="40.85546875" customWidth="1"/>
    <col min="3" max="28" width="15.7109375" customWidth="1"/>
  </cols>
  <sheetData>
    <row r="1" spans="1:27" ht="29.25" customHeight="1" x14ac:dyDescent="0.25">
      <c r="A1" s="537" t="s">
        <v>278</v>
      </c>
      <c r="B1" s="538"/>
      <c r="C1" s="541">
        <f>Założenia_Predpoklady!C1</f>
        <v>0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1:27" ht="30" customHeight="1" x14ac:dyDescent="0.25">
      <c r="B2" s="496" t="s">
        <v>380</v>
      </c>
      <c r="C2" s="496"/>
      <c r="D2" s="496"/>
      <c r="E2" s="496"/>
    </row>
    <row r="3" spans="1:27" ht="30" x14ac:dyDescent="0.25">
      <c r="B3" s="261" t="s">
        <v>49</v>
      </c>
      <c r="C3" s="25">
        <f>Założenia_Predpoklady!C9</f>
        <v>2016</v>
      </c>
      <c r="D3" s="25">
        <f>Założenia_Predpoklady!D9</f>
        <v>2017</v>
      </c>
      <c r="E3" s="25">
        <f>Założenia_Predpoklady!E9</f>
        <v>2018</v>
      </c>
      <c r="F3" s="25">
        <f>Założenia_Predpoklady!F9</f>
        <v>2019</v>
      </c>
      <c r="G3" s="25">
        <f>Założenia_Predpoklady!G9</f>
        <v>2020</v>
      </c>
      <c r="H3" s="25">
        <f>Założenia_Predpoklady!H9</f>
        <v>2021</v>
      </c>
      <c r="I3" s="25">
        <f>Założenia_Predpoklady!I9</f>
        <v>2022</v>
      </c>
      <c r="J3" s="25">
        <f>Założenia_Predpoklady!J9</f>
        <v>2023</v>
      </c>
      <c r="K3" s="25">
        <f>Założenia_Predpoklady!K9</f>
        <v>2024</v>
      </c>
      <c r="L3" s="25">
        <f>Założenia_Predpoklady!L9</f>
        <v>2025</v>
      </c>
      <c r="M3" s="25">
        <f>Założenia_Predpoklady!M9</f>
        <v>2026</v>
      </c>
      <c r="N3" s="25">
        <f>Założenia_Predpoklady!N9</f>
        <v>2027</v>
      </c>
      <c r="O3" s="25">
        <f>Założenia_Predpoklady!O9</f>
        <v>2028</v>
      </c>
      <c r="P3" s="25">
        <f>Założenia_Predpoklady!P9</f>
        <v>2029</v>
      </c>
      <c r="Q3" s="25">
        <f>Założenia_Predpoklady!Q9</f>
        <v>2030</v>
      </c>
      <c r="R3" s="25">
        <f>Założenia_Predpoklady!R9</f>
        <v>2031</v>
      </c>
      <c r="S3" s="25">
        <f>Założenia_Predpoklady!S9</f>
        <v>2032</v>
      </c>
      <c r="T3" s="25">
        <f>Założenia_Predpoklady!T9</f>
        <v>2033</v>
      </c>
      <c r="U3" s="25">
        <f>Założenia_Predpoklady!U9</f>
        <v>2034</v>
      </c>
      <c r="V3" s="25">
        <f>Założenia_Predpoklady!V9</f>
        <v>2035</v>
      </c>
      <c r="W3" s="25">
        <f>Założenia_Predpoklady!W9</f>
        <v>2036</v>
      </c>
      <c r="X3" s="25">
        <f>Założenia_Predpoklady!X9</f>
        <v>2037</v>
      </c>
      <c r="Y3" s="25">
        <f>Założenia_Predpoklady!Y9</f>
        <v>2038</v>
      </c>
      <c r="Z3" s="25">
        <f>Założenia_Predpoklady!Z9</f>
        <v>2039</v>
      </c>
      <c r="AA3" s="25">
        <f>Założenia_Predpoklady!AA9</f>
        <v>2040</v>
      </c>
    </row>
    <row r="4" spans="1:27" ht="30" x14ac:dyDescent="0.25">
      <c r="B4" s="80" t="s">
        <v>279</v>
      </c>
      <c r="C4" s="239">
        <f>SUM(C5:C9)</f>
        <v>0</v>
      </c>
      <c r="D4" s="239">
        <f t="shared" ref="D4:V4" si="0">SUM(D5:D9)</f>
        <v>0</v>
      </c>
      <c r="E4" s="239">
        <f t="shared" si="0"/>
        <v>0</v>
      </c>
      <c r="F4" s="239">
        <f t="shared" si="0"/>
        <v>0</v>
      </c>
      <c r="G4" s="239">
        <f t="shared" si="0"/>
        <v>0</v>
      </c>
      <c r="H4" s="239">
        <f t="shared" si="0"/>
        <v>0</v>
      </c>
      <c r="I4" s="239">
        <f t="shared" si="0"/>
        <v>0</v>
      </c>
      <c r="J4" s="239">
        <f t="shared" si="0"/>
        <v>0</v>
      </c>
      <c r="K4" s="239">
        <f t="shared" si="0"/>
        <v>0</v>
      </c>
      <c r="L4" s="239">
        <f t="shared" si="0"/>
        <v>0</v>
      </c>
      <c r="M4" s="239">
        <f t="shared" si="0"/>
        <v>0</v>
      </c>
      <c r="N4" s="239">
        <f t="shared" si="0"/>
        <v>0</v>
      </c>
      <c r="O4" s="239">
        <f t="shared" si="0"/>
        <v>0</v>
      </c>
      <c r="P4" s="239">
        <f t="shared" si="0"/>
        <v>0</v>
      </c>
      <c r="Q4" s="239">
        <f t="shared" si="0"/>
        <v>0</v>
      </c>
      <c r="R4" s="239">
        <f t="shared" si="0"/>
        <v>0</v>
      </c>
      <c r="S4" s="239">
        <f t="shared" si="0"/>
        <v>0</v>
      </c>
      <c r="T4" s="239">
        <f t="shared" si="0"/>
        <v>0</v>
      </c>
      <c r="U4" s="239">
        <f t="shared" si="0"/>
        <v>0</v>
      </c>
      <c r="V4" s="239">
        <f t="shared" si="0"/>
        <v>0</v>
      </c>
      <c r="W4" s="239">
        <f t="shared" ref="W4:AA4" si="1">SUM(W5:W9)</f>
        <v>0</v>
      </c>
      <c r="X4" s="239">
        <f t="shared" si="1"/>
        <v>0</v>
      </c>
      <c r="Y4" s="239">
        <f t="shared" si="1"/>
        <v>0</v>
      </c>
      <c r="Z4" s="239">
        <f t="shared" si="1"/>
        <v>0</v>
      </c>
      <c r="AA4" s="239">
        <f t="shared" si="1"/>
        <v>0</v>
      </c>
    </row>
    <row r="5" spans="1:27" ht="30" x14ac:dyDescent="0.25">
      <c r="B5" s="76" t="s">
        <v>187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</row>
    <row r="6" spans="1:27" ht="30" x14ac:dyDescent="0.25">
      <c r="B6" s="77" t="s">
        <v>188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</row>
    <row r="7" spans="1:27" ht="30" x14ac:dyDescent="0.25">
      <c r="B7" s="77" t="s">
        <v>189</v>
      </c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8"/>
      <c r="AA7" s="438"/>
    </row>
    <row r="8" spans="1:27" ht="30" x14ac:dyDescent="0.25">
      <c r="B8" s="360" t="s">
        <v>280</v>
      </c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</row>
    <row r="9" spans="1:27" ht="30" x14ac:dyDescent="0.25">
      <c r="B9" s="439" t="s">
        <v>190</v>
      </c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</row>
    <row r="10" spans="1:27" ht="30" customHeight="1" x14ac:dyDescent="0.25">
      <c r="B10" s="79" t="s">
        <v>281</v>
      </c>
      <c r="C10" s="240">
        <f>SUM(C11:C15)</f>
        <v>0</v>
      </c>
      <c r="D10" s="240">
        <f t="shared" ref="D10:V10" si="2">SUM(D11:D15)</f>
        <v>0</v>
      </c>
      <c r="E10" s="240">
        <f t="shared" si="2"/>
        <v>0</v>
      </c>
      <c r="F10" s="240">
        <f t="shared" si="2"/>
        <v>0</v>
      </c>
      <c r="G10" s="240">
        <f t="shared" si="2"/>
        <v>0</v>
      </c>
      <c r="H10" s="240">
        <f t="shared" si="2"/>
        <v>0</v>
      </c>
      <c r="I10" s="240">
        <f t="shared" si="2"/>
        <v>0</v>
      </c>
      <c r="J10" s="240">
        <f t="shared" si="2"/>
        <v>0</v>
      </c>
      <c r="K10" s="240">
        <f t="shared" si="2"/>
        <v>0</v>
      </c>
      <c r="L10" s="240">
        <f t="shared" si="2"/>
        <v>0</v>
      </c>
      <c r="M10" s="240">
        <f t="shared" si="2"/>
        <v>0</v>
      </c>
      <c r="N10" s="240">
        <f t="shared" si="2"/>
        <v>0</v>
      </c>
      <c r="O10" s="240">
        <f t="shared" si="2"/>
        <v>0</v>
      </c>
      <c r="P10" s="240">
        <f t="shared" si="2"/>
        <v>0</v>
      </c>
      <c r="Q10" s="240">
        <f t="shared" si="2"/>
        <v>0</v>
      </c>
      <c r="R10" s="240">
        <f t="shared" si="2"/>
        <v>0</v>
      </c>
      <c r="S10" s="240">
        <f t="shared" si="2"/>
        <v>0</v>
      </c>
      <c r="T10" s="240">
        <f t="shared" si="2"/>
        <v>0</v>
      </c>
      <c r="U10" s="240">
        <f t="shared" si="2"/>
        <v>0</v>
      </c>
      <c r="V10" s="240">
        <f t="shared" si="2"/>
        <v>0</v>
      </c>
      <c r="W10" s="240">
        <f t="shared" ref="W10:AA10" si="3">SUM(W11:W15)</f>
        <v>0</v>
      </c>
      <c r="X10" s="240">
        <f t="shared" si="3"/>
        <v>0</v>
      </c>
      <c r="Y10" s="240">
        <f t="shared" si="3"/>
        <v>0</v>
      </c>
      <c r="Z10" s="240">
        <f t="shared" si="3"/>
        <v>0</v>
      </c>
      <c r="AA10" s="240">
        <f t="shared" si="3"/>
        <v>0</v>
      </c>
    </row>
    <row r="11" spans="1:27" ht="30" x14ac:dyDescent="0.25">
      <c r="B11" s="76" t="s">
        <v>191</v>
      </c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0"/>
      <c r="AA11" s="440"/>
    </row>
    <row r="12" spans="1:27" ht="30" x14ac:dyDescent="0.25">
      <c r="B12" s="77" t="s">
        <v>192</v>
      </c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</row>
    <row r="13" spans="1:27" ht="30" x14ac:dyDescent="0.25">
      <c r="B13" s="76" t="s">
        <v>361</v>
      </c>
      <c r="C13" s="440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</row>
    <row r="14" spans="1:27" ht="30" x14ac:dyDescent="0.25">
      <c r="B14" s="76" t="s">
        <v>193</v>
      </c>
      <c r="C14" s="440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</row>
    <row r="15" spans="1:27" ht="30" x14ac:dyDescent="0.25">
      <c r="B15" s="420" t="s">
        <v>282</v>
      </c>
      <c r="C15" s="440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</row>
    <row r="16" spans="1:27" ht="30" x14ac:dyDescent="0.25">
      <c r="B16" s="78" t="s">
        <v>385</v>
      </c>
      <c r="C16" s="240">
        <f t="shared" ref="C16:AA16" si="4">IF(C3=0,0,C4-C10)</f>
        <v>0</v>
      </c>
      <c r="D16" s="240">
        <f t="shared" si="4"/>
        <v>0</v>
      </c>
      <c r="E16" s="240">
        <f t="shared" si="4"/>
        <v>0</v>
      </c>
      <c r="F16" s="240">
        <f t="shared" si="4"/>
        <v>0</v>
      </c>
      <c r="G16" s="240">
        <f t="shared" si="4"/>
        <v>0</v>
      </c>
      <c r="H16" s="240">
        <f t="shared" si="4"/>
        <v>0</v>
      </c>
      <c r="I16" s="240">
        <f t="shared" si="4"/>
        <v>0</v>
      </c>
      <c r="J16" s="240">
        <f t="shared" si="4"/>
        <v>0</v>
      </c>
      <c r="K16" s="240">
        <f t="shared" si="4"/>
        <v>0</v>
      </c>
      <c r="L16" s="240">
        <f t="shared" si="4"/>
        <v>0</v>
      </c>
      <c r="M16" s="240">
        <f t="shared" si="4"/>
        <v>0</v>
      </c>
      <c r="N16" s="240">
        <f t="shared" si="4"/>
        <v>0</v>
      </c>
      <c r="O16" s="240">
        <f t="shared" si="4"/>
        <v>0</v>
      </c>
      <c r="P16" s="240">
        <f t="shared" si="4"/>
        <v>0</v>
      </c>
      <c r="Q16" s="240">
        <f t="shared" si="4"/>
        <v>0</v>
      </c>
      <c r="R16" s="240">
        <f t="shared" si="4"/>
        <v>0</v>
      </c>
      <c r="S16" s="240">
        <f t="shared" si="4"/>
        <v>0</v>
      </c>
      <c r="T16" s="240">
        <f t="shared" si="4"/>
        <v>0</v>
      </c>
      <c r="U16" s="240">
        <f t="shared" si="4"/>
        <v>0</v>
      </c>
      <c r="V16" s="240">
        <f t="shared" si="4"/>
        <v>0</v>
      </c>
      <c r="W16" s="240">
        <f t="shared" si="4"/>
        <v>0</v>
      </c>
      <c r="X16" s="240">
        <f t="shared" si="4"/>
        <v>0</v>
      </c>
      <c r="Y16" s="240">
        <f t="shared" si="4"/>
        <v>0</v>
      </c>
      <c r="Z16" s="240">
        <f t="shared" si="4"/>
        <v>0</v>
      </c>
      <c r="AA16" s="240">
        <f t="shared" si="4"/>
        <v>0</v>
      </c>
    </row>
    <row r="17" spans="1:28" ht="45" x14ac:dyDescent="0.25">
      <c r="B17" s="16" t="s">
        <v>272</v>
      </c>
      <c r="C17" s="438"/>
      <c r="D17" s="241">
        <f t="shared" ref="D17:AA17" si="5">IF(D3&gt;0,C18,0)</f>
        <v>0</v>
      </c>
      <c r="E17" s="241">
        <f t="shared" si="5"/>
        <v>0</v>
      </c>
      <c r="F17" s="241">
        <f t="shared" si="5"/>
        <v>0</v>
      </c>
      <c r="G17" s="241">
        <f t="shared" si="5"/>
        <v>0</v>
      </c>
      <c r="H17" s="241">
        <f t="shared" si="5"/>
        <v>0</v>
      </c>
      <c r="I17" s="241">
        <f t="shared" si="5"/>
        <v>0</v>
      </c>
      <c r="J17" s="241">
        <f t="shared" si="5"/>
        <v>0</v>
      </c>
      <c r="K17" s="241">
        <f t="shared" si="5"/>
        <v>0</v>
      </c>
      <c r="L17" s="241">
        <f t="shared" si="5"/>
        <v>0</v>
      </c>
      <c r="M17" s="241">
        <f t="shared" si="5"/>
        <v>0</v>
      </c>
      <c r="N17" s="241">
        <f t="shared" si="5"/>
        <v>0</v>
      </c>
      <c r="O17" s="241">
        <f t="shared" si="5"/>
        <v>0</v>
      </c>
      <c r="P17" s="241">
        <f t="shared" si="5"/>
        <v>0</v>
      </c>
      <c r="Q17" s="241">
        <f t="shared" si="5"/>
        <v>0</v>
      </c>
      <c r="R17" s="241">
        <f t="shared" si="5"/>
        <v>0</v>
      </c>
      <c r="S17" s="241">
        <f t="shared" si="5"/>
        <v>0</v>
      </c>
      <c r="T17" s="241">
        <f t="shared" si="5"/>
        <v>0</v>
      </c>
      <c r="U17" s="241">
        <f t="shared" si="5"/>
        <v>0</v>
      </c>
      <c r="V17" s="241">
        <f t="shared" si="5"/>
        <v>0</v>
      </c>
      <c r="W17" s="241">
        <f t="shared" si="5"/>
        <v>0</v>
      </c>
      <c r="X17" s="241">
        <f t="shared" si="5"/>
        <v>0</v>
      </c>
      <c r="Y17" s="241">
        <f t="shared" si="5"/>
        <v>0</v>
      </c>
      <c r="Z17" s="241">
        <f t="shared" si="5"/>
        <v>0</v>
      </c>
      <c r="AA17" s="241">
        <f t="shared" si="5"/>
        <v>0</v>
      </c>
    </row>
    <row r="18" spans="1:28" ht="30" x14ac:dyDescent="0.25">
      <c r="B18" s="16" t="s">
        <v>273</v>
      </c>
      <c r="C18" s="241">
        <f t="shared" ref="C18:AA18" si="6">IF(C3=0,"",C16+C17)</f>
        <v>0</v>
      </c>
      <c r="D18" s="241">
        <f t="shared" si="6"/>
        <v>0</v>
      </c>
      <c r="E18" s="241">
        <f t="shared" si="6"/>
        <v>0</v>
      </c>
      <c r="F18" s="241">
        <f t="shared" si="6"/>
        <v>0</v>
      </c>
      <c r="G18" s="241">
        <f t="shared" si="6"/>
        <v>0</v>
      </c>
      <c r="H18" s="241">
        <f t="shared" si="6"/>
        <v>0</v>
      </c>
      <c r="I18" s="241">
        <f t="shared" si="6"/>
        <v>0</v>
      </c>
      <c r="J18" s="241">
        <f t="shared" si="6"/>
        <v>0</v>
      </c>
      <c r="K18" s="241">
        <f t="shared" si="6"/>
        <v>0</v>
      </c>
      <c r="L18" s="241">
        <f t="shared" si="6"/>
        <v>0</v>
      </c>
      <c r="M18" s="241">
        <f t="shared" si="6"/>
        <v>0</v>
      </c>
      <c r="N18" s="241">
        <f t="shared" si="6"/>
        <v>0</v>
      </c>
      <c r="O18" s="241">
        <f t="shared" si="6"/>
        <v>0</v>
      </c>
      <c r="P18" s="241">
        <f t="shared" si="6"/>
        <v>0</v>
      </c>
      <c r="Q18" s="241">
        <f t="shared" si="6"/>
        <v>0</v>
      </c>
      <c r="R18" s="241">
        <f t="shared" si="6"/>
        <v>0</v>
      </c>
      <c r="S18" s="241">
        <f t="shared" si="6"/>
        <v>0</v>
      </c>
      <c r="T18" s="241">
        <f t="shared" si="6"/>
        <v>0</v>
      </c>
      <c r="U18" s="241">
        <f t="shared" si="6"/>
        <v>0</v>
      </c>
      <c r="V18" s="241">
        <f t="shared" si="6"/>
        <v>0</v>
      </c>
      <c r="W18" s="241">
        <f t="shared" si="6"/>
        <v>0</v>
      </c>
      <c r="X18" s="241">
        <f t="shared" si="6"/>
        <v>0</v>
      </c>
      <c r="Y18" s="241">
        <f t="shared" si="6"/>
        <v>0</v>
      </c>
      <c r="Z18" s="241">
        <f t="shared" si="6"/>
        <v>0</v>
      </c>
      <c r="AA18" s="241">
        <f t="shared" si="6"/>
        <v>0</v>
      </c>
    </row>
    <row r="19" spans="1:28" x14ac:dyDescent="0.25">
      <c r="A19" s="1"/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1"/>
    </row>
    <row r="20" spans="1:28" ht="30" customHeight="1" x14ac:dyDescent="0.25">
      <c r="A20" s="37"/>
      <c r="B20" s="336" t="s">
        <v>212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1"/>
    </row>
    <row r="21" spans="1:28" ht="30" x14ac:dyDescent="0.25">
      <c r="A21" s="1"/>
      <c r="B21" s="261" t="s">
        <v>49</v>
      </c>
      <c r="C21" s="64">
        <f>C3</f>
        <v>2016</v>
      </c>
      <c r="D21" s="64">
        <f t="shared" ref="D21:AA21" si="7">D3</f>
        <v>2017</v>
      </c>
      <c r="E21" s="64">
        <f t="shared" si="7"/>
        <v>2018</v>
      </c>
      <c r="F21" s="64">
        <f t="shared" si="7"/>
        <v>2019</v>
      </c>
      <c r="G21" s="64">
        <f t="shared" si="7"/>
        <v>2020</v>
      </c>
      <c r="H21" s="64">
        <f t="shared" si="7"/>
        <v>2021</v>
      </c>
      <c r="I21" s="64">
        <f t="shared" si="7"/>
        <v>2022</v>
      </c>
      <c r="J21" s="64">
        <f t="shared" si="7"/>
        <v>2023</v>
      </c>
      <c r="K21" s="64">
        <f t="shared" si="7"/>
        <v>2024</v>
      </c>
      <c r="L21" s="64">
        <f t="shared" si="7"/>
        <v>2025</v>
      </c>
      <c r="M21" s="64">
        <f t="shared" si="7"/>
        <v>2026</v>
      </c>
      <c r="N21" s="64">
        <f t="shared" si="7"/>
        <v>2027</v>
      </c>
      <c r="O21" s="64">
        <f t="shared" si="7"/>
        <v>2028</v>
      </c>
      <c r="P21" s="64">
        <f t="shared" si="7"/>
        <v>2029</v>
      </c>
      <c r="Q21" s="64">
        <f t="shared" si="7"/>
        <v>2030</v>
      </c>
      <c r="R21" s="64">
        <f t="shared" si="7"/>
        <v>2031</v>
      </c>
      <c r="S21" s="64">
        <f t="shared" si="7"/>
        <v>2032</v>
      </c>
      <c r="T21" s="64">
        <f t="shared" si="7"/>
        <v>2033</v>
      </c>
      <c r="U21" s="64">
        <f t="shared" si="7"/>
        <v>2034</v>
      </c>
      <c r="V21" s="64">
        <f t="shared" si="7"/>
        <v>2035</v>
      </c>
      <c r="W21" s="64">
        <f t="shared" si="7"/>
        <v>2036</v>
      </c>
      <c r="X21" s="64">
        <f t="shared" si="7"/>
        <v>2037</v>
      </c>
      <c r="Y21" s="64">
        <f t="shared" si="7"/>
        <v>2038</v>
      </c>
      <c r="Z21" s="64">
        <f t="shared" si="7"/>
        <v>2039</v>
      </c>
      <c r="AA21" s="64">
        <f t="shared" si="7"/>
        <v>2040</v>
      </c>
      <c r="AB21" s="1"/>
    </row>
    <row r="22" spans="1:28" ht="30" x14ac:dyDescent="0.25">
      <c r="A22" s="1"/>
      <c r="B22" s="18" t="s">
        <v>194</v>
      </c>
      <c r="C22" s="241">
        <f>SUM(C23:C27)</f>
        <v>0</v>
      </c>
      <c r="D22" s="241">
        <f t="shared" ref="D22:Z22" si="8">SUM(D23:D27)</f>
        <v>0</v>
      </c>
      <c r="E22" s="241">
        <f t="shared" si="8"/>
        <v>0</v>
      </c>
      <c r="F22" s="241">
        <f t="shared" si="8"/>
        <v>0</v>
      </c>
      <c r="G22" s="241">
        <f t="shared" si="8"/>
        <v>0</v>
      </c>
      <c r="H22" s="241">
        <f t="shared" si="8"/>
        <v>0</v>
      </c>
      <c r="I22" s="241">
        <f t="shared" si="8"/>
        <v>0</v>
      </c>
      <c r="J22" s="241">
        <f t="shared" si="8"/>
        <v>0</v>
      </c>
      <c r="K22" s="241">
        <f t="shared" si="8"/>
        <v>0</v>
      </c>
      <c r="L22" s="241">
        <f t="shared" si="8"/>
        <v>0</v>
      </c>
      <c r="M22" s="241">
        <f t="shared" si="8"/>
        <v>0</v>
      </c>
      <c r="N22" s="241">
        <f t="shared" si="8"/>
        <v>0</v>
      </c>
      <c r="O22" s="241">
        <f t="shared" si="8"/>
        <v>0</v>
      </c>
      <c r="P22" s="241">
        <f t="shared" si="8"/>
        <v>0</v>
      </c>
      <c r="Q22" s="241">
        <f t="shared" si="8"/>
        <v>0</v>
      </c>
      <c r="R22" s="241">
        <f t="shared" si="8"/>
        <v>0</v>
      </c>
      <c r="S22" s="241">
        <f t="shared" si="8"/>
        <v>0</v>
      </c>
      <c r="T22" s="241">
        <f t="shared" si="8"/>
        <v>0</v>
      </c>
      <c r="U22" s="241">
        <f t="shared" si="8"/>
        <v>0</v>
      </c>
      <c r="V22" s="241">
        <f t="shared" si="8"/>
        <v>0</v>
      </c>
      <c r="W22" s="241">
        <f t="shared" si="8"/>
        <v>0</v>
      </c>
      <c r="X22" s="241">
        <f t="shared" si="8"/>
        <v>0</v>
      </c>
      <c r="Y22" s="241">
        <f t="shared" si="8"/>
        <v>0</v>
      </c>
      <c r="Z22" s="241">
        <f t="shared" si="8"/>
        <v>0</v>
      </c>
      <c r="AA22" s="241">
        <f t="shared" ref="AA22" si="9">SUM(AA23:AA27)</f>
        <v>0</v>
      </c>
      <c r="AB22" s="1"/>
    </row>
    <row r="23" spans="1:28" ht="30" x14ac:dyDescent="0.25">
      <c r="A23" s="1"/>
      <c r="B23" s="273" t="s">
        <v>187</v>
      </c>
      <c r="C23" s="241">
        <f>Dane_Dáta!C217+Dane_Dáta!C235</f>
        <v>0</v>
      </c>
      <c r="D23" s="241">
        <f>Dane_Dáta!D217+Dane_Dáta!D235</f>
        <v>0</v>
      </c>
      <c r="E23" s="241">
        <f>Dane_Dáta!E217+Dane_Dáta!E235</f>
        <v>0</v>
      </c>
      <c r="F23" s="241">
        <f>Dane_Dáta!F217+Dane_Dáta!F235</f>
        <v>0</v>
      </c>
      <c r="G23" s="241">
        <f>Dane_Dáta!G217+Dane_Dáta!G235</f>
        <v>0</v>
      </c>
      <c r="H23" s="241">
        <f>Dane_Dáta!H217+Dane_Dáta!H235</f>
        <v>0</v>
      </c>
      <c r="I23" s="241">
        <f>Dane_Dáta!I217+Dane_Dáta!I235</f>
        <v>0</v>
      </c>
      <c r="J23" s="241">
        <f>Dane_Dáta!J217+Dane_Dáta!J235</f>
        <v>0</v>
      </c>
      <c r="K23" s="241">
        <f>Dane_Dáta!K217+Dane_Dáta!K235</f>
        <v>0</v>
      </c>
      <c r="L23" s="241">
        <f>Dane_Dáta!L217+Dane_Dáta!L235</f>
        <v>0</v>
      </c>
      <c r="M23" s="241">
        <f>Dane_Dáta!M217+Dane_Dáta!M235</f>
        <v>0</v>
      </c>
      <c r="N23" s="241">
        <f>Dane_Dáta!N217+Dane_Dáta!N235</f>
        <v>0</v>
      </c>
      <c r="O23" s="241">
        <f>Dane_Dáta!O217+Dane_Dáta!O235</f>
        <v>0</v>
      </c>
      <c r="P23" s="241">
        <f>Dane_Dáta!P217+Dane_Dáta!P235</f>
        <v>0</v>
      </c>
      <c r="Q23" s="241">
        <f>Dane_Dáta!Q217+Dane_Dáta!Q235</f>
        <v>0</v>
      </c>
      <c r="R23" s="241">
        <f>Dane_Dáta!R217+Dane_Dáta!R235</f>
        <v>0</v>
      </c>
      <c r="S23" s="241">
        <f>Dane_Dáta!S217+Dane_Dáta!S235</f>
        <v>0</v>
      </c>
      <c r="T23" s="241">
        <f>Dane_Dáta!T217+Dane_Dáta!T235</f>
        <v>0</v>
      </c>
      <c r="U23" s="241">
        <f>Dane_Dáta!U217+Dane_Dáta!U235</f>
        <v>0</v>
      </c>
      <c r="V23" s="241">
        <f>Dane_Dáta!V217+Dane_Dáta!V235</f>
        <v>0</v>
      </c>
      <c r="W23" s="241">
        <f>Dane_Dáta!W217+Dane_Dáta!W235</f>
        <v>0</v>
      </c>
      <c r="X23" s="241">
        <f>Dane_Dáta!X217+Dane_Dáta!X235</f>
        <v>0</v>
      </c>
      <c r="Y23" s="241">
        <f>Dane_Dáta!Y217+Dane_Dáta!Y235</f>
        <v>0</v>
      </c>
      <c r="Z23" s="241">
        <f>Dane_Dáta!Z217+Dane_Dáta!Z235</f>
        <v>0</v>
      </c>
      <c r="AA23" s="241">
        <f>Dane_Dáta!AA217+Dane_Dáta!AA235</f>
        <v>0</v>
      </c>
      <c r="AB23" s="1"/>
    </row>
    <row r="24" spans="1:28" ht="30" x14ac:dyDescent="0.25">
      <c r="A24" s="1"/>
      <c r="B24" s="41" t="s">
        <v>195</v>
      </c>
      <c r="C24" s="241">
        <f>Dane_Dáta!C226+Dane_Dáta!C228+Dane_Dáta!C233</f>
        <v>0</v>
      </c>
      <c r="D24" s="241">
        <f>Dane_Dáta!D226+Dane_Dáta!D228+Dane_Dáta!D233</f>
        <v>0</v>
      </c>
      <c r="E24" s="241">
        <f>Dane_Dáta!E226+Dane_Dáta!E228+Dane_Dáta!E233</f>
        <v>0</v>
      </c>
      <c r="F24" s="241">
        <f>Dane_Dáta!F226+Dane_Dáta!F228+Dane_Dáta!F233</f>
        <v>0</v>
      </c>
      <c r="G24" s="241">
        <f>Dane_Dáta!G226+Dane_Dáta!G228+Dane_Dáta!G233</f>
        <v>0</v>
      </c>
      <c r="H24" s="241">
        <f>Dane_Dáta!H226+Dane_Dáta!H228+Dane_Dáta!H233</f>
        <v>0</v>
      </c>
      <c r="I24" s="241">
        <f>Dane_Dáta!I226+Dane_Dáta!I228+Dane_Dáta!I233</f>
        <v>0</v>
      </c>
      <c r="J24" s="241">
        <f>Dane_Dáta!J226+Dane_Dáta!J228+Dane_Dáta!J233</f>
        <v>0</v>
      </c>
      <c r="K24" s="241">
        <f>Dane_Dáta!K226+Dane_Dáta!K228+Dane_Dáta!K233</f>
        <v>0</v>
      </c>
      <c r="L24" s="241">
        <f>Dane_Dáta!L226+Dane_Dáta!L228+Dane_Dáta!L233</f>
        <v>0</v>
      </c>
      <c r="M24" s="241">
        <f>Dane_Dáta!M226+Dane_Dáta!M228+Dane_Dáta!M233</f>
        <v>0</v>
      </c>
      <c r="N24" s="241">
        <f>Dane_Dáta!N226+Dane_Dáta!N228+Dane_Dáta!N233</f>
        <v>0</v>
      </c>
      <c r="O24" s="241">
        <f>Dane_Dáta!O226+Dane_Dáta!O228+Dane_Dáta!O233</f>
        <v>0</v>
      </c>
      <c r="P24" s="241">
        <f>Dane_Dáta!P226+Dane_Dáta!P228+Dane_Dáta!P233</f>
        <v>0</v>
      </c>
      <c r="Q24" s="241">
        <f>Dane_Dáta!Q226+Dane_Dáta!Q228+Dane_Dáta!Q233</f>
        <v>0</v>
      </c>
      <c r="R24" s="241">
        <f>Dane_Dáta!R226+Dane_Dáta!R228+Dane_Dáta!R233</f>
        <v>0</v>
      </c>
      <c r="S24" s="241">
        <f>Dane_Dáta!S226+Dane_Dáta!S228+Dane_Dáta!S233</f>
        <v>0</v>
      </c>
      <c r="T24" s="241">
        <f>Dane_Dáta!T226+Dane_Dáta!T228+Dane_Dáta!T233</f>
        <v>0</v>
      </c>
      <c r="U24" s="241">
        <f>Dane_Dáta!U226+Dane_Dáta!U228+Dane_Dáta!U233</f>
        <v>0</v>
      </c>
      <c r="V24" s="241">
        <f>Dane_Dáta!V226+Dane_Dáta!V228+Dane_Dáta!V233</f>
        <v>0</v>
      </c>
      <c r="W24" s="241">
        <f>Dane_Dáta!W226+Dane_Dáta!W228+Dane_Dáta!W233</f>
        <v>0</v>
      </c>
      <c r="X24" s="241">
        <f>Dane_Dáta!X226+Dane_Dáta!X228+Dane_Dáta!X233</f>
        <v>0</v>
      </c>
      <c r="Y24" s="241">
        <f>Dane_Dáta!Y226+Dane_Dáta!Y228+Dane_Dáta!Y233</f>
        <v>0</v>
      </c>
      <c r="Z24" s="241">
        <f>Dane_Dáta!Z226+Dane_Dáta!Z228+Dane_Dáta!Z233</f>
        <v>0</v>
      </c>
      <c r="AA24" s="241">
        <f>Dane_Dáta!AA226+Dane_Dáta!AA228+Dane_Dáta!AA233</f>
        <v>0</v>
      </c>
      <c r="AB24" s="1"/>
    </row>
    <row r="25" spans="1:28" ht="30" x14ac:dyDescent="0.25">
      <c r="B25" s="43" t="s">
        <v>189</v>
      </c>
      <c r="C25" s="242">
        <f>Dane_Dáta!C229+Dane_Dáta!C234</f>
        <v>0</v>
      </c>
      <c r="D25" s="242">
        <f>Dane_Dáta!D229+Dane_Dáta!D234</f>
        <v>0</v>
      </c>
      <c r="E25" s="242">
        <f>Dane_Dáta!E229+Dane_Dáta!E234</f>
        <v>0</v>
      </c>
      <c r="F25" s="242">
        <f>Dane_Dáta!F229+Dane_Dáta!F234</f>
        <v>0</v>
      </c>
      <c r="G25" s="242">
        <f>Dane_Dáta!G229+Dane_Dáta!G234</f>
        <v>0</v>
      </c>
      <c r="H25" s="242">
        <f>Dane_Dáta!H229+Dane_Dáta!H234</f>
        <v>0</v>
      </c>
      <c r="I25" s="242">
        <f>Dane_Dáta!I229+Dane_Dáta!I234</f>
        <v>0</v>
      </c>
      <c r="J25" s="242">
        <f>Dane_Dáta!J229+Dane_Dáta!J234</f>
        <v>0</v>
      </c>
      <c r="K25" s="242">
        <f>Dane_Dáta!K229+Dane_Dáta!K234</f>
        <v>0</v>
      </c>
      <c r="L25" s="242">
        <f>Dane_Dáta!L229+Dane_Dáta!L234</f>
        <v>0</v>
      </c>
      <c r="M25" s="242">
        <f>Dane_Dáta!M229+Dane_Dáta!M234</f>
        <v>0</v>
      </c>
      <c r="N25" s="242">
        <f>Dane_Dáta!N229+Dane_Dáta!N234</f>
        <v>0</v>
      </c>
      <c r="O25" s="242">
        <f>Dane_Dáta!O229+Dane_Dáta!O234</f>
        <v>0</v>
      </c>
      <c r="P25" s="242">
        <f>Dane_Dáta!P229+Dane_Dáta!P234</f>
        <v>0</v>
      </c>
      <c r="Q25" s="242">
        <f>Dane_Dáta!Q229+Dane_Dáta!Q234</f>
        <v>0</v>
      </c>
      <c r="R25" s="242">
        <f>Dane_Dáta!R229+Dane_Dáta!R234</f>
        <v>0</v>
      </c>
      <c r="S25" s="242">
        <f>Dane_Dáta!S229+Dane_Dáta!S234</f>
        <v>0</v>
      </c>
      <c r="T25" s="242">
        <f>Dane_Dáta!T229+Dane_Dáta!T234</f>
        <v>0</v>
      </c>
      <c r="U25" s="242">
        <f>Dane_Dáta!U229+Dane_Dáta!U234</f>
        <v>0</v>
      </c>
      <c r="V25" s="242">
        <f>Dane_Dáta!V229+Dane_Dáta!V234</f>
        <v>0</v>
      </c>
      <c r="W25" s="242">
        <f>Dane_Dáta!W229+Dane_Dáta!W234</f>
        <v>0</v>
      </c>
      <c r="X25" s="242">
        <f>Dane_Dáta!X229+Dane_Dáta!X234</f>
        <v>0</v>
      </c>
      <c r="Y25" s="242">
        <f>Dane_Dáta!Y229+Dane_Dáta!Y234</f>
        <v>0</v>
      </c>
      <c r="Z25" s="242">
        <f>Dane_Dáta!Z229+Dane_Dáta!Z234</f>
        <v>0</v>
      </c>
      <c r="AA25" s="242">
        <f>Dane_Dáta!AA229+Dane_Dáta!AA234</f>
        <v>0</v>
      </c>
    </row>
    <row r="26" spans="1:28" ht="30" x14ac:dyDescent="0.25">
      <c r="B26" s="361" t="s">
        <v>280</v>
      </c>
      <c r="C26" s="242">
        <f>Dane_Dáta!C222</f>
        <v>0</v>
      </c>
      <c r="D26" s="242">
        <f>Dane_Dáta!D222</f>
        <v>0</v>
      </c>
      <c r="E26" s="242">
        <f>Dane_Dáta!E222</f>
        <v>0</v>
      </c>
      <c r="F26" s="242">
        <f>Dane_Dáta!F222</f>
        <v>0</v>
      </c>
      <c r="G26" s="242">
        <f>Dane_Dáta!G222</f>
        <v>0</v>
      </c>
      <c r="H26" s="242">
        <f>Dane_Dáta!H222</f>
        <v>0</v>
      </c>
      <c r="I26" s="242">
        <f>Dane_Dáta!I222</f>
        <v>0</v>
      </c>
      <c r="J26" s="242">
        <f>Dane_Dáta!J222</f>
        <v>0</v>
      </c>
      <c r="K26" s="242">
        <f>Dane_Dáta!K222</f>
        <v>0</v>
      </c>
      <c r="L26" s="242">
        <f>Dane_Dáta!L222</f>
        <v>0</v>
      </c>
      <c r="M26" s="242">
        <f>Dane_Dáta!M222</f>
        <v>0</v>
      </c>
      <c r="N26" s="242">
        <f>Dane_Dáta!N222</f>
        <v>0</v>
      </c>
      <c r="O26" s="242">
        <f>Dane_Dáta!O222</f>
        <v>0</v>
      </c>
      <c r="P26" s="242">
        <f>Dane_Dáta!P222</f>
        <v>0</v>
      </c>
      <c r="Q26" s="242">
        <f>Dane_Dáta!Q222</f>
        <v>0</v>
      </c>
      <c r="R26" s="242">
        <f>Dane_Dáta!R222</f>
        <v>0</v>
      </c>
      <c r="S26" s="242">
        <f>Dane_Dáta!S222</f>
        <v>0</v>
      </c>
      <c r="T26" s="242">
        <f>Dane_Dáta!T222</f>
        <v>0</v>
      </c>
      <c r="U26" s="242">
        <f>Dane_Dáta!U222</f>
        <v>0</v>
      </c>
      <c r="V26" s="242">
        <f>Dane_Dáta!V222</f>
        <v>0</v>
      </c>
      <c r="W26" s="242">
        <f>Dane_Dáta!W222</f>
        <v>0</v>
      </c>
      <c r="X26" s="242">
        <f>Dane_Dáta!X222</f>
        <v>0</v>
      </c>
      <c r="Y26" s="242">
        <f>Dane_Dáta!Y222</f>
        <v>0</v>
      </c>
      <c r="Z26" s="242">
        <f>Dane_Dáta!Z222</f>
        <v>0</v>
      </c>
      <c r="AA26" s="242">
        <f>Dane_Dáta!AA222</f>
        <v>0</v>
      </c>
    </row>
    <row r="27" spans="1:28" ht="30" x14ac:dyDescent="0.25">
      <c r="B27" s="439" t="s">
        <v>190</v>
      </c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</row>
    <row r="28" spans="1:28" ht="30" x14ac:dyDescent="0.25">
      <c r="B28" s="18" t="s">
        <v>196</v>
      </c>
      <c r="C28" s="242">
        <f>SUM(C29:C33)</f>
        <v>0</v>
      </c>
      <c r="D28" s="242">
        <f t="shared" ref="D28:Z28" si="10">SUM(D29:D33)</f>
        <v>0</v>
      </c>
      <c r="E28" s="242">
        <f t="shared" si="10"/>
        <v>0</v>
      </c>
      <c r="F28" s="242">
        <f t="shared" si="10"/>
        <v>0</v>
      </c>
      <c r="G28" s="242">
        <f t="shared" si="10"/>
        <v>0</v>
      </c>
      <c r="H28" s="242">
        <f t="shared" si="10"/>
        <v>0</v>
      </c>
      <c r="I28" s="242">
        <f t="shared" si="10"/>
        <v>0</v>
      </c>
      <c r="J28" s="242">
        <f t="shared" si="10"/>
        <v>0</v>
      </c>
      <c r="K28" s="242">
        <f t="shared" si="10"/>
        <v>0</v>
      </c>
      <c r="L28" s="242">
        <f t="shared" si="10"/>
        <v>0</v>
      </c>
      <c r="M28" s="242">
        <f t="shared" si="10"/>
        <v>0</v>
      </c>
      <c r="N28" s="242">
        <f t="shared" si="10"/>
        <v>0</v>
      </c>
      <c r="O28" s="242">
        <f t="shared" si="10"/>
        <v>0</v>
      </c>
      <c r="P28" s="242">
        <f t="shared" si="10"/>
        <v>0</v>
      </c>
      <c r="Q28" s="242">
        <f t="shared" si="10"/>
        <v>0</v>
      </c>
      <c r="R28" s="242">
        <f t="shared" si="10"/>
        <v>0</v>
      </c>
      <c r="S28" s="242">
        <f t="shared" si="10"/>
        <v>0</v>
      </c>
      <c r="T28" s="242">
        <f t="shared" si="10"/>
        <v>0</v>
      </c>
      <c r="U28" s="242">
        <f t="shared" si="10"/>
        <v>0</v>
      </c>
      <c r="V28" s="242">
        <f t="shared" si="10"/>
        <v>0</v>
      </c>
      <c r="W28" s="242">
        <f t="shared" si="10"/>
        <v>0</v>
      </c>
      <c r="X28" s="242">
        <f t="shared" si="10"/>
        <v>0</v>
      </c>
      <c r="Y28" s="242">
        <f t="shared" si="10"/>
        <v>0</v>
      </c>
      <c r="Z28" s="242">
        <f t="shared" si="10"/>
        <v>0</v>
      </c>
      <c r="AA28" s="242">
        <f t="shared" ref="AA28" si="11">SUM(AA29:AA33)</f>
        <v>0</v>
      </c>
    </row>
    <row r="29" spans="1:28" ht="30" x14ac:dyDescent="0.25">
      <c r="B29" s="273" t="s">
        <v>191</v>
      </c>
      <c r="C29" s="242">
        <f>Dane_Dáta!C179+Dane_Dáta!C193</f>
        <v>0</v>
      </c>
      <c r="D29" s="242">
        <f>Dane_Dáta!D179+Dane_Dáta!D193</f>
        <v>0</v>
      </c>
      <c r="E29" s="242">
        <f>Dane_Dáta!E179+Dane_Dáta!E193</f>
        <v>0</v>
      </c>
      <c r="F29" s="242">
        <f>Dane_Dáta!F179+Dane_Dáta!F193</f>
        <v>0</v>
      </c>
      <c r="G29" s="242">
        <f>Dane_Dáta!G179+Dane_Dáta!G193</f>
        <v>0</v>
      </c>
      <c r="H29" s="242">
        <f>Dane_Dáta!H179+Dane_Dáta!H193</f>
        <v>0</v>
      </c>
      <c r="I29" s="242">
        <f>Dane_Dáta!I179+Dane_Dáta!I193</f>
        <v>0</v>
      </c>
      <c r="J29" s="242">
        <f>Dane_Dáta!J179+Dane_Dáta!J193</f>
        <v>0</v>
      </c>
      <c r="K29" s="242">
        <f>Dane_Dáta!K179+Dane_Dáta!K193</f>
        <v>0</v>
      </c>
      <c r="L29" s="242">
        <f>Dane_Dáta!L179+Dane_Dáta!L193</f>
        <v>0</v>
      </c>
      <c r="M29" s="242">
        <f>Dane_Dáta!M179+Dane_Dáta!M193</f>
        <v>0</v>
      </c>
      <c r="N29" s="242">
        <f>Dane_Dáta!N179+Dane_Dáta!N193</f>
        <v>0</v>
      </c>
      <c r="O29" s="242">
        <f>Dane_Dáta!O179+Dane_Dáta!O193</f>
        <v>0</v>
      </c>
      <c r="P29" s="242">
        <f>Dane_Dáta!P179+Dane_Dáta!P193</f>
        <v>0</v>
      </c>
      <c r="Q29" s="242">
        <f>Dane_Dáta!Q179+Dane_Dáta!Q193</f>
        <v>0</v>
      </c>
      <c r="R29" s="242">
        <f>Dane_Dáta!R179+Dane_Dáta!R193</f>
        <v>0</v>
      </c>
      <c r="S29" s="242">
        <f>Dane_Dáta!S179+Dane_Dáta!S193</f>
        <v>0</v>
      </c>
      <c r="T29" s="242">
        <f>Dane_Dáta!T179+Dane_Dáta!T193</f>
        <v>0</v>
      </c>
      <c r="U29" s="242">
        <f>Dane_Dáta!U179+Dane_Dáta!U193</f>
        <v>0</v>
      </c>
      <c r="V29" s="242">
        <f>Dane_Dáta!V179+Dane_Dáta!V193</f>
        <v>0</v>
      </c>
      <c r="W29" s="242">
        <f>Dane_Dáta!W179+Dane_Dáta!W193</f>
        <v>0</v>
      </c>
      <c r="X29" s="242">
        <f>Dane_Dáta!X179+Dane_Dáta!X193</f>
        <v>0</v>
      </c>
      <c r="Y29" s="242">
        <f>Dane_Dáta!Y179+Dane_Dáta!Y193</f>
        <v>0</v>
      </c>
      <c r="Z29" s="242">
        <f>Dane_Dáta!Z179+Dane_Dáta!Z193</f>
        <v>0</v>
      </c>
      <c r="AA29" s="242">
        <f>Dane_Dáta!AA179+Dane_Dáta!AA193</f>
        <v>0</v>
      </c>
    </row>
    <row r="30" spans="1:28" ht="30" x14ac:dyDescent="0.25">
      <c r="B30" s="43" t="s">
        <v>192</v>
      </c>
      <c r="C30" s="241">
        <f>Dane_Dáta!C221</f>
        <v>0</v>
      </c>
      <c r="D30" s="241">
        <f>Dane_Dáta!D221</f>
        <v>0</v>
      </c>
      <c r="E30" s="241">
        <f>Dane_Dáta!E221</f>
        <v>0</v>
      </c>
      <c r="F30" s="241">
        <f>Dane_Dáta!F221</f>
        <v>0</v>
      </c>
      <c r="G30" s="241">
        <f>Dane_Dáta!G221</f>
        <v>0</v>
      </c>
      <c r="H30" s="241">
        <f>Dane_Dáta!H221</f>
        <v>0</v>
      </c>
      <c r="I30" s="241">
        <f>Dane_Dáta!I221</f>
        <v>0</v>
      </c>
      <c r="J30" s="241">
        <f>Dane_Dáta!J221</f>
        <v>0</v>
      </c>
      <c r="K30" s="241">
        <f>Dane_Dáta!K221</f>
        <v>0</v>
      </c>
      <c r="L30" s="241">
        <f>Dane_Dáta!L221</f>
        <v>0</v>
      </c>
      <c r="M30" s="241">
        <f>Dane_Dáta!M221</f>
        <v>0</v>
      </c>
      <c r="N30" s="241">
        <f>Dane_Dáta!N221</f>
        <v>0</v>
      </c>
      <c r="O30" s="241">
        <f>Dane_Dáta!O221</f>
        <v>0</v>
      </c>
      <c r="P30" s="241">
        <f>Dane_Dáta!P221</f>
        <v>0</v>
      </c>
      <c r="Q30" s="241">
        <f>Dane_Dáta!Q221</f>
        <v>0</v>
      </c>
      <c r="R30" s="241">
        <f>Dane_Dáta!R221</f>
        <v>0</v>
      </c>
      <c r="S30" s="241">
        <f>Dane_Dáta!S221</f>
        <v>0</v>
      </c>
      <c r="T30" s="241">
        <f>Dane_Dáta!T221</f>
        <v>0</v>
      </c>
      <c r="U30" s="241">
        <f>Dane_Dáta!U221</f>
        <v>0</v>
      </c>
      <c r="V30" s="241">
        <f>Dane_Dáta!V221</f>
        <v>0</v>
      </c>
      <c r="W30" s="241">
        <f>Dane_Dáta!W221</f>
        <v>0</v>
      </c>
      <c r="X30" s="241">
        <f>Dane_Dáta!X221</f>
        <v>0</v>
      </c>
      <c r="Y30" s="241">
        <f>Dane_Dáta!Y221</f>
        <v>0</v>
      </c>
      <c r="Z30" s="241">
        <f>Dane_Dáta!Z221</f>
        <v>0</v>
      </c>
      <c r="AA30" s="241">
        <f>Dane_Dáta!AA221</f>
        <v>0</v>
      </c>
    </row>
    <row r="31" spans="1:28" ht="30" x14ac:dyDescent="0.25">
      <c r="B31" s="273" t="s">
        <v>361</v>
      </c>
      <c r="C31" s="242">
        <f>Dane_Dáta!C230</f>
        <v>0</v>
      </c>
      <c r="D31" s="242">
        <f>Dane_Dáta!D230</f>
        <v>0</v>
      </c>
      <c r="E31" s="242">
        <f>Dane_Dáta!E230</f>
        <v>0</v>
      </c>
      <c r="F31" s="242">
        <f>Dane_Dáta!F230</f>
        <v>0</v>
      </c>
      <c r="G31" s="242">
        <f>Dane_Dáta!G230</f>
        <v>0</v>
      </c>
      <c r="H31" s="242">
        <f>Dane_Dáta!H230</f>
        <v>0</v>
      </c>
      <c r="I31" s="242">
        <f>Dane_Dáta!I230</f>
        <v>0</v>
      </c>
      <c r="J31" s="242">
        <f>Dane_Dáta!J230</f>
        <v>0</v>
      </c>
      <c r="K31" s="242">
        <f>Dane_Dáta!K230</f>
        <v>0</v>
      </c>
      <c r="L31" s="242">
        <f>Dane_Dáta!L230</f>
        <v>0</v>
      </c>
      <c r="M31" s="242">
        <f>Dane_Dáta!M230</f>
        <v>0</v>
      </c>
      <c r="N31" s="242">
        <f>Dane_Dáta!N230</f>
        <v>0</v>
      </c>
      <c r="O31" s="242">
        <f>Dane_Dáta!O230</f>
        <v>0</v>
      </c>
      <c r="P31" s="242">
        <f>Dane_Dáta!P230</f>
        <v>0</v>
      </c>
      <c r="Q31" s="242">
        <f>Dane_Dáta!Q230</f>
        <v>0</v>
      </c>
      <c r="R31" s="242">
        <f>Dane_Dáta!R230</f>
        <v>0</v>
      </c>
      <c r="S31" s="242">
        <f>Dane_Dáta!S230</f>
        <v>0</v>
      </c>
      <c r="T31" s="242">
        <f>Dane_Dáta!T230</f>
        <v>0</v>
      </c>
      <c r="U31" s="242">
        <f>Dane_Dáta!U230</f>
        <v>0</v>
      </c>
      <c r="V31" s="242">
        <f>Dane_Dáta!V230</f>
        <v>0</v>
      </c>
      <c r="W31" s="242">
        <f>Dane_Dáta!W230</f>
        <v>0</v>
      </c>
      <c r="X31" s="242">
        <f>Dane_Dáta!X230</f>
        <v>0</v>
      </c>
      <c r="Y31" s="242">
        <f>Dane_Dáta!Y230</f>
        <v>0</v>
      </c>
      <c r="Z31" s="242">
        <f>Dane_Dáta!Z230</f>
        <v>0</v>
      </c>
      <c r="AA31" s="242">
        <f>Dane_Dáta!AA230</f>
        <v>0</v>
      </c>
    </row>
    <row r="32" spans="1:28" ht="60" x14ac:dyDescent="0.25">
      <c r="B32" s="273" t="s">
        <v>283</v>
      </c>
      <c r="C32" s="241">
        <f>Dane_Dáta!C198</f>
        <v>0</v>
      </c>
      <c r="D32" s="241">
        <f>Dane_Dáta!D198</f>
        <v>0</v>
      </c>
      <c r="E32" s="241">
        <f>Dane_Dáta!E198</f>
        <v>0</v>
      </c>
      <c r="F32" s="241">
        <f>Dane_Dáta!F198</f>
        <v>0</v>
      </c>
      <c r="G32" s="241">
        <f>Dane_Dáta!G198</f>
        <v>0</v>
      </c>
      <c r="H32" s="241">
        <f>Dane_Dáta!H198</f>
        <v>0</v>
      </c>
      <c r="I32" s="241">
        <f>Dane_Dáta!I198</f>
        <v>0</v>
      </c>
      <c r="J32" s="241">
        <f>Dane_Dáta!J198</f>
        <v>0</v>
      </c>
      <c r="K32" s="241">
        <f>Dane_Dáta!K198</f>
        <v>0</v>
      </c>
      <c r="L32" s="241">
        <f>Dane_Dáta!L198</f>
        <v>0</v>
      </c>
      <c r="M32" s="241">
        <f>Dane_Dáta!M198</f>
        <v>0</v>
      </c>
      <c r="N32" s="241">
        <f>Dane_Dáta!N198</f>
        <v>0</v>
      </c>
      <c r="O32" s="241">
        <f>Dane_Dáta!O198</f>
        <v>0</v>
      </c>
      <c r="P32" s="241">
        <f>Dane_Dáta!P198</f>
        <v>0</v>
      </c>
      <c r="Q32" s="241">
        <f>Dane_Dáta!Q198</f>
        <v>0</v>
      </c>
      <c r="R32" s="241">
        <f>Dane_Dáta!R198</f>
        <v>0</v>
      </c>
      <c r="S32" s="241">
        <f>Dane_Dáta!S198</f>
        <v>0</v>
      </c>
      <c r="T32" s="241">
        <f>Dane_Dáta!T198</f>
        <v>0</v>
      </c>
      <c r="U32" s="241">
        <f>Dane_Dáta!U198</f>
        <v>0</v>
      </c>
      <c r="V32" s="241">
        <f>Dane_Dáta!V198</f>
        <v>0</v>
      </c>
      <c r="W32" s="241">
        <f>Dane_Dáta!W198</f>
        <v>0</v>
      </c>
      <c r="X32" s="241">
        <f>Dane_Dáta!X198</f>
        <v>0</v>
      </c>
      <c r="Y32" s="241">
        <f>Dane_Dáta!Y198</f>
        <v>0</v>
      </c>
      <c r="Z32" s="241">
        <f>Dane_Dáta!Z198</f>
        <v>0</v>
      </c>
      <c r="AA32" s="241">
        <f>Dane_Dáta!AA198</f>
        <v>0</v>
      </c>
    </row>
    <row r="33" spans="1:31" ht="30" x14ac:dyDescent="0.25">
      <c r="B33" s="420" t="s">
        <v>282</v>
      </c>
      <c r="C33" s="441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441"/>
      <c r="O33" s="441"/>
      <c r="P33" s="441"/>
      <c r="Q33" s="441"/>
      <c r="R33" s="441"/>
      <c r="S33" s="441"/>
      <c r="T33" s="441"/>
      <c r="U33" s="441"/>
      <c r="V33" s="441"/>
      <c r="W33" s="441"/>
      <c r="X33" s="441"/>
      <c r="Y33" s="441"/>
      <c r="Z33" s="441"/>
      <c r="AA33" s="441"/>
    </row>
    <row r="34" spans="1:31" ht="30" x14ac:dyDescent="0.25">
      <c r="B34" s="81" t="s">
        <v>284</v>
      </c>
      <c r="C34" s="243">
        <f>IF(C21=0,0,C22-C28)</f>
        <v>0</v>
      </c>
      <c r="D34" s="243">
        <f t="shared" ref="D34:Z34" si="12">IF(D21=0,0,D22-D28)</f>
        <v>0</v>
      </c>
      <c r="E34" s="243">
        <f t="shared" si="12"/>
        <v>0</v>
      </c>
      <c r="F34" s="243">
        <f t="shared" si="12"/>
        <v>0</v>
      </c>
      <c r="G34" s="243">
        <f t="shared" si="12"/>
        <v>0</v>
      </c>
      <c r="H34" s="243">
        <f t="shared" si="12"/>
        <v>0</v>
      </c>
      <c r="I34" s="243">
        <f t="shared" si="12"/>
        <v>0</v>
      </c>
      <c r="J34" s="243">
        <f t="shared" si="12"/>
        <v>0</v>
      </c>
      <c r="K34" s="243">
        <f t="shared" si="12"/>
        <v>0</v>
      </c>
      <c r="L34" s="243">
        <f t="shared" si="12"/>
        <v>0</v>
      </c>
      <c r="M34" s="243">
        <f t="shared" si="12"/>
        <v>0</v>
      </c>
      <c r="N34" s="243">
        <f t="shared" si="12"/>
        <v>0</v>
      </c>
      <c r="O34" s="243">
        <f t="shared" si="12"/>
        <v>0</v>
      </c>
      <c r="P34" s="243">
        <f t="shared" si="12"/>
        <v>0</v>
      </c>
      <c r="Q34" s="243">
        <f t="shared" si="12"/>
        <v>0</v>
      </c>
      <c r="R34" s="243">
        <f t="shared" si="12"/>
        <v>0</v>
      </c>
      <c r="S34" s="243">
        <f t="shared" si="12"/>
        <v>0</v>
      </c>
      <c r="T34" s="243">
        <f t="shared" si="12"/>
        <v>0</v>
      </c>
      <c r="U34" s="243">
        <f t="shared" si="12"/>
        <v>0</v>
      </c>
      <c r="V34" s="243">
        <f t="shared" si="12"/>
        <v>0</v>
      </c>
      <c r="W34" s="243">
        <f t="shared" si="12"/>
        <v>0</v>
      </c>
      <c r="X34" s="243">
        <f t="shared" si="12"/>
        <v>0</v>
      </c>
      <c r="Y34" s="243">
        <f t="shared" si="12"/>
        <v>0</v>
      </c>
      <c r="Z34" s="243">
        <f t="shared" si="12"/>
        <v>0</v>
      </c>
      <c r="AA34" s="243">
        <f t="shared" ref="AA34" si="13">IF(AA21=0,0,AA22-AA28)</f>
        <v>0</v>
      </c>
    </row>
    <row r="35" spans="1:31" x14ac:dyDescent="0.25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31" ht="30" x14ac:dyDescent="0.25">
      <c r="A36" s="129"/>
      <c r="B36" s="337" t="s">
        <v>285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</row>
    <row r="37" spans="1:31" ht="30" x14ac:dyDescent="0.25">
      <c r="A37" s="129"/>
      <c r="B37" s="261" t="s">
        <v>49</v>
      </c>
      <c r="C37" s="152">
        <f t="shared" ref="C37:AA37" si="14">C3</f>
        <v>2016</v>
      </c>
      <c r="D37" s="152">
        <f t="shared" si="14"/>
        <v>2017</v>
      </c>
      <c r="E37" s="152">
        <f t="shared" si="14"/>
        <v>2018</v>
      </c>
      <c r="F37" s="152">
        <f t="shared" si="14"/>
        <v>2019</v>
      </c>
      <c r="G37" s="152">
        <f t="shared" si="14"/>
        <v>2020</v>
      </c>
      <c r="H37" s="152">
        <f t="shared" si="14"/>
        <v>2021</v>
      </c>
      <c r="I37" s="152">
        <f t="shared" si="14"/>
        <v>2022</v>
      </c>
      <c r="J37" s="152">
        <f t="shared" si="14"/>
        <v>2023</v>
      </c>
      <c r="K37" s="152">
        <f t="shared" si="14"/>
        <v>2024</v>
      </c>
      <c r="L37" s="152">
        <f t="shared" si="14"/>
        <v>2025</v>
      </c>
      <c r="M37" s="152">
        <f t="shared" si="14"/>
        <v>2026</v>
      </c>
      <c r="N37" s="152">
        <f t="shared" si="14"/>
        <v>2027</v>
      </c>
      <c r="O37" s="152">
        <f t="shared" si="14"/>
        <v>2028</v>
      </c>
      <c r="P37" s="152">
        <f t="shared" si="14"/>
        <v>2029</v>
      </c>
      <c r="Q37" s="152">
        <f t="shared" si="14"/>
        <v>2030</v>
      </c>
      <c r="R37" s="152">
        <f t="shared" si="14"/>
        <v>2031</v>
      </c>
      <c r="S37" s="152">
        <f t="shared" si="14"/>
        <v>2032</v>
      </c>
      <c r="T37" s="152">
        <f t="shared" si="14"/>
        <v>2033</v>
      </c>
      <c r="U37" s="152">
        <f t="shared" si="14"/>
        <v>2034</v>
      </c>
      <c r="V37" s="152">
        <f t="shared" si="14"/>
        <v>2035</v>
      </c>
      <c r="W37" s="152">
        <f t="shared" si="14"/>
        <v>2036</v>
      </c>
      <c r="X37" s="152">
        <f t="shared" si="14"/>
        <v>2037</v>
      </c>
      <c r="Y37" s="152">
        <f t="shared" si="14"/>
        <v>2038</v>
      </c>
      <c r="Z37" s="152">
        <f t="shared" si="14"/>
        <v>2039</v>
      </c>
      <c r="AA37" s="152">
        <f t="shared" si="14"/>
        <v>2040</v>
      </c>
    </row>
    <row r="38" spans="1:31" ht="60" x14ac:dyDescent="0.25">
      <c r="B38" s="110" t="s">
        <v>386</v>
      </c>
      <c r="C38" s="226">
        <f t="shared" ref="C38:AA38" si="15">IF(C21=0,0,C16+C34)</f>
        <v>0</v>
      </c>
      <c r="D38" s="226">
        <f t="shared" si="15"/>
        <v>0</v>
      </c>
      <c r="E38" s="226">
        <f t="shared" si="15"/>
        <v>0</v>
      </c>
      <c r="F38" s="226">
        <f t="shared" si="15"/>
        <v>0</v>
      </c>
      <c r="G38" s="226">
        <f t="shared" si="15"/>
        <v>0</v>
      </c>
      <c r="H38" s="226">
        <f t="shared" si="15"/>
        <v>0</v>
      </c>
      <c r="I38" s="226">
        <f t="shared" si="15"/>
        <v>0</v>
      </c>
      <c r="J38" s="226">
        <f t="shared" si="15"/>
        <v>0</v>
      </c>
      <c r="K38" s="226">
        <f t="shared" si="15"/>
        <v>0</v>
      </c>
      <c r="L38" s="226">
        <f t="shared" si="15"/>
        <v>0</v>
      </c>
      <c r="M38" s="226">
        <f t="shared" si="15"/>
        <v>0</v>
      </c>
      <c r="N38" s="226">
        <f t="shared" si="15"/>
        <v>0</v>
      </c>
      <c r="O38" s="226">
        <f t="shared" si="15"/>
        <v>0</v>
      </c>
      <c r="P38" s="226">
        <f t="shared" si="15"/>
        <v>0</v>
      </c>
      <c r="Q38" s="226">
        <f t="shared" si="15"/>
        <v>0</v>
      </c>
      <c r="R38" s="226">
        <f t="shared" si="15"/>
        <v>0</v>
      </c>
      <c r="S38" s="226">
        <f t="shared" si="15"/>
        <v>0</v>
      </c>
      <c r="T38" s="226">
        <f t="shared" si="15"/>
        <v>0</v>
      </c>
      <c r="U38" s="226">
        <f t="shared" si="15"/>
        <v>0</v>
      </c>
      <c r="V38" s="226">
        <f t="shared" si="15"/>
        <v>0</v>
      </c>
      <c r="W38" s="226">
        <f t="shared" si="15"/>
        <v>0</v>
      </c>
      <c r="X38" s="226">
        <f t="shared" si="15"/>
        <v>0</v>
      </c>
      <c r="Y38" s="226">
        <f t="shared" si="15"/>
        <v>0</v>
      </c>
      <c r="Z38" s="226">
        <f t="shared" si="15"/>
        <v>0</v>
      </c>
      <c r="AA38" s="226">
        <f t="shared" si="15"/>
        <v>0</v>
      </c>
    </row>
    <row r="39" spans="1:31" ht="45" x14ac:dyDescent="0.25">
      <c r="B39" s="16" t="s">
        <v>272</v>
      </c>
      <c r="C39" s="244">
        <f>C17</f>
        <v>0</v>
      </c>
      <c r="D39" s="245">
        <f t="shared" ref="D39:AA39" si="16">IF(D21&gt;0,C40,0)</f>
        <v>0</v>
      </c>
      <c r="E39" s="245">
        <f t="shared" si="16"/>
        <v>0</v>
      </c>
      <c r="F39" s="245">
        <f t="shared" si="16"/>
        <v>0</v>
      </c>
      <c r="G39" s="245">
        <f t="shared" si="16"/>
        <v>0</v>
      </c>
      <c r="H39" s="245">
        <f t="shared" si="16"/>
        <v>0</v>
      </c>
      <c r="I39" s="245">
        <f t="shared" si="16"/>
        <v>0</v>
      </c>
      <c r="J39" s="245">
        <f t="shared" si="16"/>
        <v>0</v>
      </c>
      <c r="K39" s="245">
        <f t="shared" si="16"/>
        <v>0</v>
      </c>
      <c r="L39" s="245">
        <f t="shared" si="16"/>
        <v>0</v>
      </c>
      <c r="M39" s="245">
        <f t="shared" si="16"/>
        <v>0</v>
      </c>
      <c r="N39" s="245">
        <f t="shared" si="16"/>
        <v>0</v>
      </c>
      <c r="O39" s="245">
        <f t="shared" si="16"/>
        <v>0</v>
      </c>
      <c r="P39" s="245">
        <f t="shared" si="16"/>
        <v>0</v>
      </c>
      <c r="Q39" s="245">
        <f t="shared" si="16"/>
        <v>0</v>
      </c>
      <c r="R39" s="245">
        <f t="shared" si="16"/>
        <v>0</v>
      </c>
      <c r="S39" s="245">
        <f t="shared" si="16"/>
        <v>0</v>
      </c>
      <c r="T39" s="245">
        <f t="shared" si="16"/>
        <v>0</v>
      </c>
      <c r="U39" s="245">
        <f t="shared" si="16"/>
        <v>0</v>
      </c>
      <c r="V39" s="245">
        <f t="shared" si="16"/>
        <v>0</v>
      </c>
      <c r="W39" s="245">
        <f t="shared" si="16"/>
        <v>0</v>
      </c>
      <c r="X39" s="245">
        <f t="shared" si="16"/>
        <v>0</v>
      </c>
      <c r="Y39" s="245">
        <f t="shared" si="16"/>
        <v>0</v>
      </c>
      <c r="Z39" s="245">
        <f t="shared" si="16"/>
        <v>0</v>
      </c>
      <c r="AA39" s="245">
        <f t="shared" si="16"/>
        <v>0</v>
      </c>
    </row>
    <row r="40" spans="1:31" ht="30" x14ac:dyDescent="0.25">
      <c r="B40" s="18" t="s">
        <v>363</v>
      </c>
      <c r="C40" s="246">
        <f>C39+C38</f>
        <v>0</v>
      </c>
      <c r="D40" s="247">
        <f t="shared" ref="D40:AA40" si="17">IF(D3=0,"",D38+D39)</f>
        <v>0</v>
      </c>
      <c r="E40" s="247">
        <f t="shared" si="17"/>
        <v>0</v>
      </c>
      <c r="F40" s="247">
        <f t="shared" si="17"/>
        <v>0</v>
      </c>
      <c r="G40" s="247">
        <f t="shared" si="17"/>
        <v>0</v>
      </c>
      <c r="H40" s="247">
        <f t="shared" si="17"/>
        <v>0</v>
      </c>
      <c r="I40" s="247">
        <f t="shared" si="17"/>
        <v>0</v>
      </c>
      <c r="J40" s="247">
        <f t="shared" si="17"/>
        <v>0</v>
      </c>
      <c r="K40" s="247">
        <f t="shared" si="17"/>
        <v>0</v>
      </c>
      <c r="L40" s="247">
        <f t="shared" si="17"/>
        <v>0</v>
      </c>
      <c r="M40" s="247">
        <f t="shared" si="17"/>
        <v>0</v>
      </c>
      <c r="N40" s="247">
        <f t="shared" si="17"/>
        <v>0</v>
      </c>
      <c r="O40" s="247">
        <f t="shared" si="17"/>
        <v>0</v>
      </c>
      <c r="P40" s="247">
        <f t="shared" si="17"/>
        <v>0</v>
      </c>
      <c r="Q40" s="247">
        <f t="shared" si="17"/>
        <v>0</v>
      </c>
      <c r="R40" s="247">
        <f t="shared" si="17"/>
        <v>0</v>
      </c>
      <c r="S40" s="247">
        <f t="shared" si="17"/>
        <v>0</v>
      </c>
      <c r="T40" s="247">
        <f t="shared" si="17"/>
        <v>0</v>
      </c>
      <c r="U40" s="247">
        <f t="shared" si="17"/>
        <v>0</v>
      </c>
      <c r="V40" s="247">
        <f t="shared" si="17"/>
        <v>0</v>
      </c>
      <c r="W40" s="247">
        <f t="shared" si="17"/>
        <v>0</v>
      </c>
      <c r="X40" s="247">
        <f t="shared" si="17"/>
        <v>0</v>
      </c>
      <c r="Y40" s="247">
        <f t="shared" si="17"/>
        <v>0</v>
      </c>
      <c r="Z40" s="247">
        <f t="shared" si="17"/>
        <v>0</v>
      </c>
      <c r="AA40" s="247">
        <f t="shared" si="17"/>
        <v>0</v>
      </c>
    </row>
    <row r="41" spans="1:31" x14ac:dyDescent="0.25"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</row>
    <row r="42" spans="1:31" ht="60" x14ac:dyDescent="0.25">
      <c r="B42" s="340" t="s">
        <v>286</v>
      </c>
      <c r="C42" s="249">
        <f>IFERROR(C28/(C28+C10),0)</f>
        <v>0</v>
      </c>
      <c r="D42" s="249">
        <f t="shared" ref="D42:AA42" si="18">IFERROR(D28/(D28+D10),0)</f>
        <v>0</v>
      </c>
      <c r="E42" s="249">
        <f t="shared" si="18"/>
        <v>0</v>
      </c>
      <c r="F42" s="249">
        <f t="shared" si="18"/>
        <v>0</v>
      </c>
      <c r="G42" s="249">
        <f t="shared" si="18"/>
        <v>0</v>
      </c>
      <c r="H42" s="249">
        <f t="shared" si="18"/>
        <v>0</v>
      </c>
      <c r="I42" s="249">
        <f t="shared" si="18"/>
        <v>0</v>
      </c>
      <c r="J42" s="249">
        <f t="shared" si="18"/>
        <v>0</v>
      </c>
      <c r="K42" s="249">
        <f t="shared" si="18"/>
        <v>0</v>
      </c>
      <c r="L42" s="249">
        <f t="shared" si="18"/>
        <v>0</v>
      </c>
      <c r="M42" s="249">
        <f t="shared" si="18"/>
        <v>0</v>
      </c>
      <c r="N42" s="249">
        <f t="shared" si="18"/>
        <v>0</v>
      </c>
      <c r="O42" s="249">
        <f t="shared" si="18"/>
        <v>0</v>
      </c>
      <c r="P42" s="249">
        <f t="shared" si="18"/>
        <v>0</v>
      </c>
      <c r="Q42" s="249">
        <f t="shared" si="18"/>
        <v>0</v>
      </c>
      <c r="R42" s="249">
        <f t="shared" si="18"/>
        <v>0</v>
      </c>
      <c r="S42" s="249">
        <f t="shared" si="18"/>
        <v>0</v>
      </c>
      <c r="T42" s="249">
        <f t="shared" si="18"/>
        <v>0</v>
      </c>
      <c r="U42" s="249">
        <f t="shared" si="18"/>
        <v>0</v>
      </c>
      <c r="V42" s="249">
        <f t="shared" si="18"/>
        <v>0</v>
      </c>
      <c r="W42" s="249">
        <f t="shared" si="18"/>
        <v>0</v>
      </c>
      <c r="X42" s="249">
        <f t="shared" si="18"/>
        <v>0</v>
      </c>
      <c r="Y42" s="249">
        <f t="shared" si="18"/>
        <v>0</v>
      </c>
      <c r="Z42" s="249">
        <f t="shared" si="18"/>
        <v>0</v>
      </c>
      <c r="AA42" s="249">
        <f t="shared" si="18"/>
        <v>0</v>
      </c>
    </row>
    <row r="43" spans="1:31" x14ac:dyDescent="0.25"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</row>
    <row r="44" spans="1:31" ht="60" x14ac:dyDescent="0.25">
      <c r="B44" s="340" t="s">
        <v>362</v>
      </c>
      <c r="C44" s="251">
        <f>IFERROR(C29/(C28+C10),0)</f>
        <v>0</v>
      </c>
      <c r="D44" s="251">
        <f t="shared" ref="D44:AA44" si="19">IFERROR(D29/(D28+D10),0)</f>
        <v>0</v>
      </c>
      <c r="E44" s="251">
        <f>IFERROR(E29/(E28+E10),0)</f>
        <v>0</v>
      </c>
      <c r="F44" s="251">
        <f t="shared" si="19"/>
        <v>0</v>
      </c>
      <c r="G44" s="251">
        <f>IFERROR(G29/(G28+G10),0)</f>
        <v>0</v>
      </c>
      <c r="H44" s="251">
        <f t="shared" si="19"/>
        <v>0</v>
      </c>
      <c r="I44" s="251">
        <f t="shared" si="19"/>
        <v>0</v>
      </c>
      <c r="J44" s="251">
        <f t="shared" si="19"/>
        <v>0</v>
      </c>
      <c r="K44" s="251">
        <f t="shared" si="19"/>
        <v>0</v>
      </c>
      <c r="L44" s="251">
        <f t="shared" si="19"/>
        <v>0</v>
      </c>
      <c r="M44" s="251">
        <f t="shared" si="19"/>
        <v>0</v>
      </c>
      <c r="N44" s="251">
        <f t="shared" si="19"/>
        <v>0</v>
      </c>
      <c r="O44" s="251">
        <f t="shared" si="19"/>
        <v>0</v>
      </c>
      <c r="P44" s="251">
        <f t="shared" si="19"/>
        <v>0</v>
      </c>
      <c r="Q44" s="251">
        <f t="shared" si="19"/>
        <v>0</v>
      </c>
      <c r="R44" s="251">
        <f t="shared" si="19"/>
        <v>0</v>
      </c>
      <c r="S44" s="251">
        <f t="shared" si="19"/>
        <v>0</v>
      </c>
      <c r="T44" s="251">
        <f t="shared" si="19"/>
        <v>0</v>
      </c>
      <c r="U44" s="251">
        <f t="shared" si="19"/>
        <v>0</v>
      </c>
      <c r="V44" s="251">
        <f t="shared" si="19"/>
        <v>0</v>
      </c>
      <c r="W44" s="251">
        <f t="shared" si="19"/>
        <v>0</v>
      </c>
      <c r="X44" s="251">
        <f t="shared" si="19"/>
        <v>0</v>
      </c>
      <c r="Y44" s="251">
        <f t="shared" si="19"/>
        <v>0</v>
      </c>
      <c r="Z44" s="251">
        <f t="shared" si="19"/>
        <v>0</v>
      </c>
      <c r="AA44" s="251">
        <f t="shared" si="19"/>
        <v>0</v>
      </c>
    </row>
    <row r="46" spans="1:31" ht="30" x14ac:dyDescent="0.25">
      <c r="B46" s="427" t="s">
        <v>364</v>
      </c>
      <c r="C46" s="442">
        <f t="shared" ref="C46:AA46" si="20">C18</f>
        <v>0</v>
      </c>
      <c r="D46" s="442">
        <f t="shared" si="20"/>
        <v>0</v>
      </c>
      <c r="E46" s="442">
        <f t="shared" si="20"/>
        <v>0</v>
      </c>
      <c r="F46" s="442">
        <f t="shared" si="20"/>
        <v>0</v>
      </c>
      <c r="G46" s="442">
        <f t="shared" si="20"/>
        <v>0</v>
      </c>
      <c r="H46" s="442">
        <f t="shared" si="20"/>
        <v>0</v>
      </c>
      <c r="I46" s="442">
        <f t="shared" si="20"/>
        <v>0</v>
      </c>
      <c r="J46" s="442">
        <f t="shared" si="20"/>
        <v>0</v>
      </c>
      <c r="K46" s="442">
        <f t="shared" si="20"/>
        <v>0</v>
      </c>
      <c r="L46" s="442">
        <f t="shared" si="20"/>
        <v>0</v>
      </c>
      <c r="M46" s="442">
        <f t="shared" si="20"/>
        <v>0</v>
      </c>
      <c r="N46" s="442">
        <f t="shared" si="20"/>
        <v>0</v>
      </c>
      <c r="O46" s="442">
        <f t="shared" si="20"/>
        <v>0</v>
      </c>
      <c r="P46" s="442">
        <f t="shared" si="20"/>
        <v>0</v>
      </c>
      <c r="Q46" s="442">
        <f t="shared" si="20"/>
        <v>0</v>
      </c>
      <c r="R46" s="442">
        <f t="shared" si="20"/>
        <v>0</v>
      </c>
      <c r="S46" s="442">
        <f t="shared" si="20"/>
        <v>0</v>
      </c>
      <c r="T46" s="442">
        <f t="shared" si="20"/>
        <v>0</v>
      </c>
      <c r="U46" s="442">
        <f t="shared" si="20"/>
        <v>0</v>
      </c>
      <c r="V46" s="442">
        <f t="shared" si="20"/>
        <v>0</v>
      </c>
      <c r="W46" s="442">
        <f t="shared" si="20"/>
        <v>0</v>
      </c>
      <c r="X46" s="442">
        <f t="shared" si="20"/>
        <v>0</v>
      </c>
      <c r="Y46" s="442">
        <f t="shared" si="20"/>
        <v>0</v>
      </c>
      <c r="Z46" s="442">
        <f t="shared" si="20"/>
        <v>0</v>
      </c>
      <c r="AA46" s="442">
        <f t="shared" si="20"/>
        <v>0</v>
      </c>
      <c r="AB46" s="442"/>
      <c r="AC46" s="352"/>
      <c r="AD46" s="352"/>
      <c r="AE46" s="352"/>
    </row>
    <row r="47" spans="1:31" x14ac:dyDescent="0.25">
      <c r="B47" s="429" t="str">
        <f>B34</f>
        <v>Saldo przepływów inwestycji:
Zostatok peňažných tokov investície:</v>
      </c>
      <c r="C47" s="442">
        <f t="shared" ref="C47:AA47" si="21">C34</f>
        <v>0</v>
      </c>
      <c r="D47" s="442">
        <f t="shared" si="21"/>
        <v>0</v>
      </c>
      <c r="E47" s="442">
        <f t="shared" si="21"/>
        <v>0</v>
      </c>
      <c r="F47" s="442">
        <f t="shared" si="21"/>
        <v>0</v>
      </c>
      <c r="G47" s="442">
        <f t="shared" si="21"/>
        <v>0</v>
      </c>
      <c r="H47" s="442">
        <f t="shared" si="21"/>
        <v>0</v>
      </c>
      <c r="I47" s="442">
        <f t="shared" si="21"/>
        <v>0</v>
      </c>
      <c r="J47" s="442">
        <f t="shared" si="21"/>
        <v>0</v>
      </c>
      <c r="K47" s="442">
        <f t="shared" si="21"/>
        <v>0</v>
      </c>
      <c r="L47" s="442">
        <f t="shared" si="21"/>
        <v>0</v>
      </c>
      <c r="M47" s="442">
        <f t="shared" si="21"/>
        <v>0</v>
      </c>
      <c r="N47" s="442">
        <f t="shared" si="21"/>
        <v>0</v>
      </c>
      <c r="O47" s="442">
        <f t="shared" si="21"/>
        <v>0</v>
      </c>
      <c r="P47" s="442">
        <f t="shared" si="21"/>
        <v>0</v>
      </c>
      <c r="Q47" s="442">
        <f t="shared" si="21"/>
        <v>0</v>
      </c>
      <c r="R47" s="442">
        <f t="shared" si="21"/>
        <v>0</v>
      </c>
      <c r="S47" s="442">
        <f t="shared" si="21"/>
        <v>0</v>
      </c>
      <c r="T47" s="442">
        <f t="shared" si="21"/>
        <v>0</v>
      </c>
      <c r="U47" s="442">
        <f t="shared" si="21"/>
        <v>0</v>
      </c>
      <c r="V47" s="442">
        <f t="shared" si="21"/>
        <v>0</v>
      </c>
      <c r="W47" s="442">
        <f t="shared" si="21"/>
        <v>0</v>
      </c>
      <c r="X47" s="442">
        <f t="shared" si="21"/>
        <v>0</v>
      </c>
      <c r="Y47" s="442">
        <f t="shared" si="21"/>
        <v>0</v>
      </c>
      <c r="Z47" s="442">
        <f t="shared" si="21"/>
        <v>0</v>
      </c>
      <c r="AA47" s="442">
        <f t="shared" si="21"/>
        <v>0</v>
      </c>
      <c r="AB47" s="442"/>
      <c r="AC47" s="352"/>
      <c r="AD47" s="352"/>
      <c r="AE47" s="352"/>
    </row>
    <row r="48" spans="1:31" x14ac:dyDescent="0.25">
      <c r="B48" s="429" t="str">
        <f>B40</f>
        <v>Stan środków pieniężnych na koniec roku:
Stav peňažných prostriedkov na konci roka:</v>
      </c>
      <c r="C48" s="442">
        <f t="shared" ref="C48:AA48" si="22">C40</f>
        <v>0</v>
      </c>
      <c r="D48" s="442">
        <f t="shared" si="22"/>
        <v>0</v>
      </c>
      <c r="E48" s="442">
        <f t="shared" si="22"/>
        <v>0</v>
      </c>
      <c r="F48" s="442">
        <f t="shared" si="22"/>
        <v>0</v>
      </c>
      <c r="G48" s="442">
        <f t="shared" si="22"/>
        <v>0</v>
      </c>
      <c r="H48" s="442">
        <f t="shared" si="22"/>
        <v>0</v>
      </c>
      <c r="I48" s="442">
        <f t="shared" si="22"/>
        <v>0</v>
      </c>
      <c r="J48" s="442">
        <f t="shared" si="22"/>
        <v>0</v>
      </c>
      <c r="K48" s="442">
        <f t="shared" si="22"/>
        <v>0</v>
      </c>
      <c r="L48" s="442">
        <f t="shared" si="22"/>
        <v>0</v>
      </c>
      <c r="M48" s="442">
        <f t="shared" si="22"/>
        <v>0</v>
      </c>
      <c r="N48" s="442">
        <f t="shared" si="22"/>
        <v>0</v>
      </c>
      <c r="O48" s="442">
        <f t="shared" si="22"/>
        <v>0</v>
      </c>
      <c r="P48" s="442">
        <f t="shared" si="22"/>
        <v>0</v>
      </c>
      <c r="Q48" s="442">
        <f t="shared" si="22"/>
        <v>0</v>
      </c>
      <c r="R48" s="442">
        <f t="shared" si="22"/>
        <v>0</v>
      </c>
      <c r="S48" s="442">
        <f t="shared" si="22"/>
        <v>0</v>
      </c>
      <c r="T48" s="442">
        <f t="shared" si="22"/>
        <v>0</v>
      </c>
      <c r="U48" s="442">
        <f t="shared" si="22"/>
        <v>0</v>
      </c>
      <c r="V48" s="442">
        <f t="shared" si="22"/>
        <v>0</v>
      </c>
      <c r="W48" s="442">
        <f t="shared" si="22"/>
        <v>0</v>
      </c>
      <c r="X48" s="442">
        <f t="shared" si="22"/>
        <v>0</v>
      </c>
      <c r="Y48" s="442">
        <f t="shared" si="22"/>
        <v>0</v>
      </c>
      <c r="Z48" s="442">
        <f t="shared" si="22"/>
        <v>0</v>
      </c>
      <c r="AA48" s="442">
        <f t="shared" si="22"/>
        <v>0</v>
      </c>
      <c r="AB48" s="442"/>
      <c r="AC48" s="352"/>
      <c r="AD48" s="352"/>
      <c r="AE48" s="352"/>
    </row>
    <row r="49" spans="2:28" x14ac:dyDescent="0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</row>
    <row r="50" spans="2:28" x14ac:dyDescent="0.2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</row>
    <row r="51" spans="2:28" x14ac:dyDescent="0.2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</row>
  </sheetData>
  <sheetProtection sheet="1" objects="1" scenarios="1" formatCells="0" formatColumns="0" formatRows="0" insertRows="0" deleteRows="0" selectLockedCells="1"/>
  <mergeCells count="3">
    <mergeCell ref="B2:E2"/>
    <mergeCell ref="C1:O1"/>
    <mergeCell ref="A1:B1"/>
  </mergeCells>
  <conditionalFormatting sqref="C1">
    <cfRule type="cellIs" dxfId="10" priority="9" operator="equal">
      <formula>0</formula>
    </cfRule>
  </conditionalFormatting>
  <conditionalFormatting sqref="C38:AA40 C10:AA10 C3:AA4 C34:AA36 C28:AA32 C16:AA16 C18:AA26 D17:AA17">
    <cfRule type="cellIs" dxfId="9" priority="8" operator="equal">
      <formula>0</formula>
    </cfRule>
  </conditionalFormatting>
  <conditionalFormatting sqref="C40:AA40">
    <cfRule type="cellIs" dxfId="8" priority="4" operator="lessThan">
      <formula>0</formula>
    </cfRule>
  </conditionalFormatting>
  <conditionalFormatting sqref="C42:AA44">
    <cfRule type="cellIs" dxfId="7" priority="3" operator="equal">
      <formula>0</formula>
    </cfRule>
  </conditionalFormatting>
  <conditionalFormatting sqref="C37:AA37">
    <cfRule type="cellIs" dxfId="6" priority="1" operator="equal">
      <formula>0</formula>
    </cfRule>
  </conditionalFormatting>
  <dataValidations count="2">
    <dataValidation type="decimal" operator="greaterThanOrEqual" allowBlank="1" showInputMessage="1" showErrorMessage="1" prompt="Podaj wartość._x000a_Zadajte hodnotu." sqref="C33:AA33">
      <formula1>0</formula1>
    </dataValidation>
    <dataValidation type="decimal" operator="greaterThanOrEqual" allowBlank="1" showInputMessage="1" showErrorMessage="1" prompt="Podaj wartość._x000a_Zadajte hodnotu." sqref="C27:AA27 C5:AA9 C17 C11:AA15">
      <formula1>0</formula1>
    </dataValidation>
  </dataValidations>
  <pageMargins left="0.7" right="0.7" top="0.75" bottom="0.75" header="0.3" footer="0.3"/>
  <pageSetup paperSize="9" scale="19" orientation="portrait" r:id="rId1"/>
  <colBreaks count="1" manualBreakCount="1">
    <brk id="27" max="56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B214"/>
  <sheetViews>
    <sheetView showGridLines="0" view="pageBreakPreview" topLeftCell="A178" zoomScaleNormal="100" zoomScaleSheetLayoutView="100" workbookViewId="0">
      <selection activeCell="D149" sqref="D149"/>
    </sheetView>
  </sheetViews>
  <sheetFormatPr defaultRowHeight="15" x14ac:dyDescent="0.25"/>
  <cols>
    <col min="1" max="1" width="5.42578125" customWidth="1"/>
    <col min="2" max="2" width="45.7109375" customWidth="1"/>
    <col min="3" max="4" width="19.7109375" customWidth="1"/>
    <col min="5" max="27" width="15.7109375" customWidth="1"/>
  </cols>
  <sheetData>
    <row r="1" spans="2:27" ht="30" customHeight="1" x14ac:dyDescent="0.25">
      <c r="B1" s="256" t="s">
        <v>122</v>
      </c>
      <c r="C1" s="541">
        <f>Założenia_Predpoklady!C1</f>
        <v>0</v>
      </c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3"/>
    </row>
    <row r="2" spans="2:27" ht="15" customHeight="1" x14ac:dyDescent="0.25">
      <c r="B2" s="124"/>
      <c r="C2" s="124"/>
      <c r="D2" s="124"/>
      <c r="E2" s="124"/>
    </row>
    <row r="3" spans="2:27" ht="32.25" customHeight="1" x14ac:dyDescent="0.25">
      <c r="B3" s="537" t="s">
        <v>287</v>
      </c>
      <c r="C3" s="537"/>
      <c r="D3" s="537"/>
      <c r="E3" s="537"/>
    </row>
    <row r="4" spans="2:27" x14ac:dyDescent="0.25">
      <c r="B4" s="186"/>
      <c r="C4" s="99"/>
      <c r="D4" s="99"/>
      <c r="E4" s="99"/>
      <c r="F4" s="184"/>
    </row>
    <row r="5" spans="2:27" ht="75" customHeight="1" x14ac:dyDescent="0.25">
      <c r="B5" s="545" t="s">
        <v>123</v>
      </c>
      <c r="C5" s="546"/>
      <c r="D5" s="187" t="s">
        <v>288</v>
      </c>
      <c r="E5" s="187" t="s">
        <v>124</v>
      </c>
      <c r="F5" s="184"/>
    </row>
    <row r="6" spans="2:27" ht="30" x14ac:dyDescent="0.25">
      <c r="B6" s="299" t="s">
        <v>125</v>
      </c>
      <c r="C6" s="312" t="s">
        <v>131</v>
      </c>
      <c r="D6" s="443"/>
      <c r="E6" s="444"/>
      <c r="F6" s="185"/>
    </row>
    <row r="7" spans="2:27" ht="30" x14ac:dyDescent="0.25">
      <c r="B7" s="299" t="s">
        <v>126</v>
      </c>
      <c r="C7" s="312" t="s">
        <v>132</v>
      </c>
      <c r="D7" s="443"/>
      <c r="E7" s="444"/>
      <c r="F7" s="185"/>
    </row>
    <row r="8" spans="2:27" ht="30" x14ac:dyDescent="0.25">
      <c r="B8" s="299" t="s">
        <v>127</v>
      </c>
      <c r="C8" s="312" t="s">
        <v>133</v>
      </c>
      <c r="D8" s="443"/>
      <c r="E8" s="444"/>
      <c r="F8" s="185"/>
    </row>
    <row r="9" spans="2:27" ht="30" x14ac:dyDescent="0.25">
      <c r="B9" s="299" t="s">
        <v>128</v>
      </c>
      <c r="C9" s="312" t="s">
        <v>134</v>
      </c>
      <c r="D9" s="443"/>
      <c r="E9" s="444"/>
      <c r="F9" s="185"/>
    </row>
    <row r="10" spans="2:27" ht="30" x14ac:dyDescent="0.25">
      <c r="B10" s="299" t="s">
        <v>129</v>
      </c>
      <c r="C10" s="312" t="s">
        <v>135</v>
      </c>
      <c r="D10" s="443"/>
      <c r="E10" s="444"/>
      <c r="F10" s="185"/>
    </row>
    <row r="11" spans="2:27" ht="30" x14ac:dyDescent="0.25">
      <c r="B11" s="300" t="s">
        <v>289</v>
      </c>
      <c r="C11" s="188" t="s">
        <v>27</v>
      </c>
      <c r="D11" s="189">
        <f>SUM(D6:D10)</f>
        <v>0</v>
      </c>
      <c r="E11" s="190" t="s">
        <v>27</v>
      </c>
      <c r="F11" s="185"/>
    </row>
    <row r="12" spans="2:27" x14ac:dyDescent="0.25">
      <c r="B12" s="124"/>
      <c r="C12" s="124"/>
      <c r="D12" s="124"/>
      <c r="E12" s="124"/>
      <c r="F12" s="124"/>
    </row>
    <row r="13" spans="2:27" ht="30" x14ac:dyDescent="0.25">
      <c r="B13" s="280" t="s">
        <v>78</v>
      </c>
      <c r="C13" s="301">
        <f>Dane_Dáta!C132/1000</f>
        <v>0</v>
      </c>
      <c r="D13" s="302" t="s">
        <v>29</v>
      </c>
      <c r="E13" s="124"/>
      <c r="F13" s="124"/>
    </row>
    <row r="14" spans="2:27" x14ac:dyDescent="0.25">
      <c r="B14" s="124"/>
      <c r="C14" s="124"/>
      <c r="D14" s="124"/>
      <c r="E14" s="124"/>
      <c r="F14" s="124"/>
    </row>
    <row r="15" spans="2:27" ht="30" x14ac:dyDescent="0.25">
      <c r="B15" s="299" t="s">
        <v>130</v>
      </c>
      <c r="C15" s="150">
        <f>Założenia_Predpoklady!C9</f>
        <v>2016</v>
      </c>
      <c r="D15" s="150">
        <f>Założenia_Predpoklady!D9</f>
        <v>2017</v>
      </c>
      <c r="E15" s="150">
        <f>Założenia_Predpoklady!E9</f>
        <v>2018</v>
      </c>
      <c r="F15" s="25">
        <f>Założenia_Predpoklady!F9</f>
        <v>2019</v>
      </c>
      <c r="G15" s="25">
        <f>Założenia_Predpoklady!G9</f>
        <v>2020</v>
      </c>
      <c r="H15" s="25">
        <f>Założenia_Predpoklady!H9</f>
        <v>2021</v>
      </c>
      <c r="I15" s="25">
        <f>Założenia_Predpoklady!I9</f>
        <v>2022</v>
      </c>
      <c r="J15" s="25">
        <f>Założenia_Predpoklady!J9</f>
        <v>2023</v>
      </c>
      <c r="K15" s="25">
        <f>Założenia_Predpoklady!K9</f>
        <v>2024</v>
      </c>
      <c r="L15" s="25">
        <f>Założenia_Predpoklady!L9</f>
        <v>2025</v>
      </c>
      <c r="M15" s="25">
        <f>Założenia_Predpoklady!M9</f>
        <v>2026</v>
      </c>
      <c r="N15" s="25">
        <f>Założenia_Predpoklady!N9</f>
        <v>2027</v>
      </c>
      <c r="O15" s="25">
        <f>Założenia_Predpoklady!O9</f>
        <v>2028</v>
      </c>
      <c r="P15" s="25">
        <f>Założenia_Predpoklady!P9</f>
        <v>2029</v>
      </c>
      <c r="Q15" s="25">
        <f>Założenia_Predpoklady!Q9</f>
        <v>2030</v>
      </c>
      <c r="R15" s="25">
        <f>Założenia_Predpoklady!R9</f>
        <v>2031</v>
      </c>
      <c r="S15" s="25">
        <f>Założenia_Predpoklady!S9</f>
        <v>2032</v>
      </c>
      <c r="T15" s="25">
        <f>Założenia_Predpoklady!T9</f>
        <v>2033</v>
      </c>
      <c r="U15" s="25">
        <f>Założenia_Predpoklady!U9</f>
        <v>2034</v>
      </c>
      <c r="V15" s="25">
        <f>Założenia_Predpoklady!V9</f>
        <v>2035</v>
      </c>
      <c r="W15" s="25">
        <f>Założenia_Predpoklady!W9</f>
        <v>2036</v>
      </c>
      <c r="X15" s="25">
        <f>Założenia_Predpoklady!X9</f>
        <v>2037</v>
      </c>
      <c r="Y15" s="25">
        <f>Założenia_Predpoklady!Y9</f>
        <v>2038</v>
      </c>
      <c r="Z15" s="25">
        <f>Założenia_Predpoklady!Z9</f>
        <v>2039</v>
      </c>
      <c r="AA15" s="25">
        <f>Założenia_Predpoklady!AA9</f>
        <v>2040</v>
      </c>
    </row>
    <row r="16" spans="2:27" x14ac:dyDescent="0.25">
      <c r="B16" s="303" t="s">
        <v>131</v>
      </c>
      <c r="C16" s="167">
        <f t="shared" ref="C16:C20" si="0">D6</f>
        <v>0</v>
      </c>
      <c r="D16" s="27">
        <f t="shared" ref="D16:AA16" si="1">ROUND((1+$E6)*C16,0)</f>
        <v>0</v>
      </c>
      <c r="E16" s="27">
        <f t="shared" si="1"/>
        <v>0</v>
      </c>
      <c r="F16" s="2">
        <f t="shared" si="1"/>
        <v>0</v>
      </c>
      <c r="G16" s="2">
        <f t="shared" si="1"/>
        <v>0</v>
      </c>
      <c r="H16" s="2">
        <f t="shared" si="1"/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  <c r="W16" s="2">
        <f t="shared" si="1"/>
        <v>0</v>
      </c>
      <c r="X16" s="2">
        <f t="shared" si="1"/>
        <v>0</v>
      </c>
      <c r="Y16" s="2">
        <f t="shared" si="1"/>
        <v>0</v>
      </c>
      <c r="Z16" s="2">
        <f t="shared" si="1"/>
        <v>0</v>
      </c>
      <c r="AA16" s="2">
        <f t="shared" si="1"/>
        <v>0</v>
      </c>
    </row>
    <row r="17" spans="2:27" x14ac:dyDescent="0.25">
      <c r="B17" s="303" t="s">
        <v>132</v>
      </c>
      <c r="C17" s="167">
        <f t="shared" si="0"/>
        <v>0</v>
      </c>
      <c r="D17" s="27">
        <f t="shared" ref="D17:AA17" si="2">ROUND((1+$E7)*C17,0)</f>
        <v>0</v>
      </c>
      <c r="E17" s="27">
        <f t="shared" si="2"/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  <c r="W17" s="2">
        <f t="shared" si="2"/>
        <v>0</v>
      </c>
      <c r="X17" s="2">
        <f t="shared" si="2"/>
        <v>0</v>
      </c>
      <c r="Y17" s="2">
        <f t="shared" si="2"/>
        <v>0</v>
      </c>
      <c r="Z17" s="2">
        <f t="shared" si="2"/>
        <v>0</v>
      </c>
      <c r="AA17" s="2">
        <f t="shared" si="2"/>
        <v>0</v>
      </c>
    </row>
    <row r="18" spans="2:27" x14ac:dyDescent="0.25">
      <c r="B18" s="303" t="s">
        <v>133</v>
      </c>
      <c r="C18" s="167">
        <f t="shared" si="0"/>
        <v>0</v>
      </c>
      <c r="D18" s="27">
        <f t="shared" ref="D18:AA18" si="3">ROUND((1+$E8)*C18,0)</f>
        <v>0</v>
      </c>
      <c r="E18" s="27">
        <f t="shared" si="3"/>
        <v>0</v>
      </c>
      <c r="F18" s="2">
        <f t="shared" si="3"/>
        <v>0</v>
      </c>
      <c r="G18" s="2">
        <f t="shared" si="3"/>
        <v>0</v>
      </c>
      <c r="H18" s="2">
        <f t="shared" si="3"/>
        <v>0</v>
      </c>
      <c r="I18" s="2">
        <f t="shared" si="3"/>
        <v>0</v>
      </c>
      <c r="J18" s="2">
        <f t="shared" si="3"/>
        <v>0</v>
      </c>
      <c r="K18" s="2">
        <f t="shared" si="3"/>
        <v>0</v>
      </c>
      <c r="L18" s="2">
        <f t="shared" si="3"/>
        <v>0</v>
      </c>
      <c r="M18" s="2">
        <f t="shared" si="3"/>
        <v>0</v>
      </c>
      <c r="N18" s="2">
        <f t="shared" si="3"/>
        <v>0</v>
      </c>
      <c r="O18" s="2">
        <f t="shared" si="3"/>
        <v>0</v>
      </c>
      <c r="P18" s="2">
        <f t="shared" si="3"/>
        <v>0</v>
      </c>
      <c r="Q18" s="2">
        <f t="shared" si="3"/>
        <v>0</v>
      </c>
      <c r="R18" s="2">
        <f t="shared" si="3"/>
        <v>0</v>
      </c>
      <c r="S18" s="2">
        <f t="shared" si="3"/>
        <v>0</v>
      </c>
      <c r="T18" s="2">
        <f t="shared" si="3"/>
        <v>0</v>
      </c>
      <c r="U18" s="2">
        <f t="shared" si="3"/>
        <v>0</v>
      </c>
      <c r="V18" s="2">
        <f t="shared" si="3"/>
        <v>0</v>
      </c>
      <c r="W18" s="2">
        <f t="shared" si="3"/>
        <v>0</v>
      </c>
      <c r="X18" s="2">
        <f t="shared" si="3"/>
        <v>0</v>
      </c>
      <c r="Y18" s="2">
        <f t="shared" si="3"/>
        <v>0</v>
      </c>
      <c r="Z18" s="2">
        <f t="shared" si="3"/>
        <v>0</v>
      </c>
      <c r="AA18" s="2">
        <f t="shared" si="3"/>
        <v>0</v>
      </c>
    </row>
    <row r="19" spans="2:27" x14ac:dyDescent="0.25">
      <c r="B19" s="303" t="s">
        <v>134</v>
      </c>
      <c r="C19" s="167">
        <f t="shared" si="0"/>
        <v>0</v>
      </c>
      <c r="D19" s="27">
        <f t="shared" ref="D19:AA19" si="4">ROUND((1+$E9)*C19,0)</f>
        <v>0</v>
      </c>
      <c r="E19" s="27">
        <f t="shared" si="4"/>
        <v>0</v>
      </c>
      <c r="F19" s="2">
        <f t="shared" si="4"/>
        <v>0</v>
      </c>
      <c r="G19" s="2">
        <f t="shared" si="4"/>
        <v>0</v>
      </c>
      <c r="H19" s="2">
        <f t="shared" si="4"/>
        <v>0</v>
      </c>
      <c r="I19" s="2">
        <f t="shared" si="4"/>
        <v>0</v>
      </c>
      <c r="J19" s="2">
        <f t="shared" si="4"/>
        <v>0</v>
      </c>
      <c r="K19" s="2">
        <f t="shared" si="4"/>
        <v>0</v>
      </c>
      <c r="L19" s="2">
        <f t="shared" si="4"/>
        <v>0</v>
      </c>
      <c r="M19" s="2">
        <f t="shared" si="4"/>
        <v>0</v>
      </c>
      <c r="N19" s="2">
        <f t="shared" si="4"/>
        <v>0</v>
      </c>
      <c r="O19" s="2">
        <f t="shared" si="4"/>
        <v>0</v>
      </c>
      <c r="P19" s="2">
        <f t="shared" si="4"/>
        <v>0</v>
      </c>
      <c r="Q19" s="2">
        <f t="shared" si="4"/>
        <v>0</v>
      </c>
      <c r="R19" s="2">
        <f t="shared" si="4"/>
        <v>0</v>
      </c>
      <c r="S19" s="2">
        <f t="shared" si="4"/>
        <v>0</v>
      </c>
      <c r="T19" s="2">
        <f t="shared" si="4"/>
        <v>0</v>
      </c>
      <c r="U19" s="2">
        <f t="shared" si="4"/>
        <v>0</v>
      </c>
      <c r="V19" s="2">
        <f t="shared" si="4"/>
        <v>0</v>
      </c>
      <c r="W19" s="2">
        <f t="shared" si="4"/>
        <v>0</v>
      </c>
      <c r="X19" s="2">
        <f t="shared" si="4"/>
        <v>0</v>
      </c>
      <c r="Y19" s="2">
        <f t="shared" si="4"/>
        <v>0</v>
      </c>
      <c r="Z19" s="2">
        <f t="shared" si="4"/>
        <v>0</v>
      </c>
      <c r="AA19" s="2">
        <f t="shared" si="4"/>
        <v>0</v>
      </c>
    </row>
    <row r="20" spans="2:27" x14ac:dyDescent="0.25">
      <c r="B20" s="303" t="s">
        <v>135</v>
      </c>
      <c r="C20" s="167">
        <f t="shared" si="0"/>
        <v>0</v>
      </c>
      <c r="D20" s="27">
        <f t="shared" ref="D20:AA20" si="5">ROUND((1+$E10)*C20,0)</f>
        <v>0</v>
      </c>
      <c r="E20" s="27">
        <f t="shared" si="5"/>
        <v>0</v>
      </c>
      <c r="F20" s="2">
        <f t="shared" si="5"/>
        <v>0</v>
      </c>
      <c r="G20" s="2">
        <f t="shared" si="5"/>
        <v>0</v>
      </c>
      <c r="H20" s="2">
        <f t="shared" si="5"/>
        <v>0</v>
      </c>
      <c r="I20" s="2">
        <f t="shared" si="5"/>
        <v>0</v>
      </c>
      <c r="J20" s="2">
        <f t="shared" si="5"/>
        <v>0</v>
      </c>
      <c r="K20" s="2">
        <f t="shared" si="5"/>
        <v>0</v>
      </c>
      <c r="L20" s="2">
        <f t="shared" si="5"/>
        <v>0</v>
      </c>
      <c r="M20" s="2">
        <f t="shared" si="5"/>
        <v>0</v>
      </c>
      <c r="N20" s="2">
        <f t="shared" si="5"/>
        <v>0</v>
      </c>
      <c r="O20" s="2">
        <f t="shared" si="5"/>
        <v>0</v>
      </c>
      <c r="P20" s="2">
        <f t="shared" si="5"/>
        <v>0</v>
      </c>
      <c r="Q20" s="2">
        <f t="shared" si="5"/>
        <v>0</v>
      </c>
      <c r="R20" s="2">
        <f t="shared" si="5"/>
        <v>0</v>
      </c>
      <c r="S20" s="2">
        <f t="shared" si="5"/>
        <v>0</v>
      </c>
      <c r="T20" s="2">
        <f t="shared" si="5"/>
        <v>0</v>
      </c>
      <c r="U20" s="2">
        <f t="shared" si="5"/>
        <v>0</v>
      </c>
      <c r="V20" s="2">
        <f t="shared" si="5"/>
        <v>0</v>
      </c>
      <c r="W20" s="2">
        <f t="shared" si="5"/>
        <v>0</v>
      </c>
      <c r="X20" s="2">
        <f t="shared" si="5"/>
        <v>0</v>
      </c>
      <c r="Y20" s="2">
        <f t="shared" si="5"/>
        <v>0</v>
      </c>
      <c r="Z20" s="2">
        <f t="shared" si="5"/>
        <v>0</v>
      </c>
      <c r="AA20" s="2">
        <f t="shared" si="5"/>
        <v>0</v>
      </c>
    </row>
    <row r="21" spans="2:27" ht="36" x14ac:dyDescent="0.35">
      <c r="B21" s="300" t="s">
        <v>290</v>
      </c>
      <c r="C21" s="165">
        <f>SUM(C16:C20)</f>
        <v>0</v>
      </c>
      <c r="D21" s="165">
        <f>SUM(D16:D20)</f>
        <v>0</v>
      </c>
      <c r="E21" s="165">
        <f t="shared" ref="E21:AA21" si="6">SUM(E16:E20)</f>
        <v>0</v>
      </c>
      <c r="F21" s="165">
        <f t="shared" si="6"/>
        <v>0</v>
      </c>
      <c r="G21" s="165">
        <f t="shared" si="6"/>
        <v>0</v>
      </c>
      <c r="H21" s="165">
        <f t="shared" si="6"/>
        <v>0</v>
      </c>
      <c r="I21" s="165">
        <f t="shared" si="6"/>
        <v>0</v>
      </c>
      <c r="J21" s="165">
        <f t="shared" si="6"/>
        <v>0</v>
      </c>
      <c r="K21" s="165">
        <f t="shared" si="6"/>
        <v>0</v>
      </c>
      <c r="L21" s="165">
        <f t="shared" si="6"/>
        <v>0</v>
      </c>
      <c r="M21" s="165">
        <f t="shared" si="6"/>
        <v>0</v>
      </c>
      <c r="N21" s="165">
        <f t="shared" si="6"/>
        <v>0</v>
      </c>
      <c r="O21" s="165">
        <f t="shared" si="6"/>
        <v>0</v>
      </c>
      <c r="P21" s="165">
        <f t="shared" si="6"/>
        <v>0</v>
      </c>
      <c r="Q21" s="165">
        <f t="shared" si="6"/>
        <v>0</v>
      </c>
      <c r="R21" s="165">
        <f t="shared" si="6"/>
        <v>0</v>
      </c>
      <c r="S21" s="165">
        <f t="shared" si="6"/>
        <v>0</v>
      </c>
      <c r="T21" s="165">
        <f t="shared" si="6"/>
        <v>0</v>
      </c>
      <c r="U21" s="165">
        <f t="shared" si="6"/>
        <v>0</v>
      </c>
      <c r="V21" s="165">
        <f t="shared" si="6"/>
        <v>0</v>
      </c>
      <c r="W21" s="165">
        <f t="shared" si="6"/>
        <v>0</v>
      </c>
      <c r="X21" s="165">
        <f t="shared" si="6"/>
        <v>0</v>
      </c>
      <c r="Y21" s="165">
        <f t="shared" si="6"/>
        <v>0</v>
      </c>
      <c r="Z21" s="165">
        <f t="shared" si="6"/>
        <v>0</v>
      </c>
      <c r="AA21" s="165">
        <f t="shared" si="6"/>
        <v>0</v>
      </c>
    </row>
    <row r="22" spans="2:27" ht="30" x14ac:dyDescent="0.25">
      <c r="B22" s="299" t="s">
        <v>291</v>
      </c>
      <c r="C22" s="193">
        <f>C21*$C$13*365/1000</f>
        <v>0</v>
      </c>
      <c r="D22" s="193">
        <f t="shared" ref="D22:AA22" si="7">D21*$C$13*365/1000</f>
        <v>0</v>
      </c>
      <c r="E22" s="193">
        <f t="shared" si="7"/>
        <v>0</v>
      </c>
      <c r="F22" s="193">
        <f t="shared" si="7"/>
        <v>0</v>
      </c>
      <c r="G22" s="193">
        <f t="shared" si="7"/>
        <v>0</v>
      </c>
      <c r="H22" s="193">
        <f t="shared" si="7"/>
        <v>0</v>
      </c>
      <c r="I22" s="193">
        <f t="shared" si="7"/>
        <v>0</v>
      </c>
      <c r="J22" s="193">
        <f t="shared" si="7"/>
        <v>0</v>
      </c>
      <c r="K22" s="193">
        <f t="shared" si="7"/>
        <v>0</v>
      </c>
      <c r="L22" s="193">
        <f t="shared" si="7"/>
        <v>0</v>
      </c>
      <c r="M22" s="193">
        <f t="shared" si="7"/>
        <v>0</v>
      </c>
      <c r="N22" s="193">
        <f t="shared" si="7"/>
        <v>0</v>
      </c>
      <c r="O22" s="193">
        <f t="shared" si="7"/>
        <v>0</v>
      </c>
      <c r="P22" s="193">
        <f t="shared" si="7"/>
        <v>0</v>
      </c>
      <c r="Q22" s="193">
        <f t="shared" si="7"/>
        <v>0</v>
      </c>
      <c r="R22" s="193">
        <f t="shared" si="7"/>
        <v>0</v>
      </c>
      <c r="S22" s="193">
        <f t="shared" si="7"/>
        <v>0</v>
      </c>
      <c r="T22" s="193">
        <f t="shared" si="7"/>
        <v>0</v>
      </c>
      <c r="U22" s="193">
        <f t="shared" si="7"/>
        <v>0</v>
      </c>
      <c r="V22" s="193">
        <f t="shared" si="7"/>
        <v>0</v>
      </c>
      <c r="W22" s="193">
        <f t="shared" si="7"/>
        <v>0</v>
      </c>
      <c r="X22" s="193">
        <f t="shared" si="7"/>
        <v>0</v>
      </c>
      <c r="Y22" s="193">
        <f t="shared" si="7"/>
        <v>0</v>
      </c>
      <c r="Z22" s="193">
        <f t="shared" si="7"/>
        <v>0</v>
      </c>
      <c r="AA22" s="193">
        <f t="shared" si="7"/>
        <v>0</v>
      </c>
    </row>
    <row r="23" spans="2:27" x14ac:dyDescent="0.25">
      <c r="B23" s="191"/>
      <c r="C23" s="124"/>
      <c r="D23" s="124"/>
      <c r="E23" s="124"/>
    </row>
    <row r="24" spans="2:27" ht="30" x14ac:dyDescent="0.25">
      <c r="B24" s="273" t="s">
        <v>292</v>
      </c>
      <c r="C24" s="149">
        <f>C15</f>
        <v>2016</v>
      </c>
      <c r="D24" s="149">
        <f t="shared" ref="D24:AA24" si="8">D15</f>
        <v>2017</v>
      </c>
      <c r="E24" s="149">
        <f t="shared" si="8"/>
        <v>2018</v>
      </c>
      <c r="F24" s="53">
        <f t="shared" si="8"/>
        <v>2019</v>
      </c>
      <c r="G24" s="53">
        <f t="shared" si="8"/>
        <v>2020</v>
      </c>
      <c r="H24" s="53">
        <f t="shared" si="8"/>
        <v>2021</v>
      </c>
      <c r="I24" s="53">
        <f t="shared" si="8"/>
        <v>2022</v>
      </c>
      <c r="J24" s="53">
        <f t="shared" si="8"/>
        <v>2023</v>
      </c>
      <c r="K24" s="53">
        <f t="shared" si="8"/>
        <v>2024</v>
      </c>
      <c r="L24" s="53">
        <f t="shared" si="8"/>
        <v>2025</v>
      </c>
      <c r="M24" s="53">
        <f t="shared" si="8"/>
        <v>2026</v>
      </c>
      <c r="N24" s="53">
        <f t="shared" si="8"/>
        <v>2027</v>
      </c>
      <c r="O24" s="53">
        <f t="shared" si="8"/>
        <v>2028</v>
      </c>
      <c r="P24" s="53">
        <f t="shared" si="8"/>
        <v>2029</v>
      </c>
      <c r="Q24" s="53">
        <f t="shared" si="8"/>
        <v>2030</v>
      </c>
      <c r="R24" s="53">
        <f t="shared" si="8"/>
        <v>2031</v>
      </c>
      <c r="S24" s="53">
        <f t="shared" si="8"/>
        <v>2032</v>
      </c>
      <c r="T24" s="53">
        <f t="shared" si="8"/>
        <v>2033</v>
      </c>
      <c r="U24" s="53">
        <f t="shared" si="8"/>
        <v>2034</v>
      </c>
      <c r="V24" s="53">
        <f t="shared" si="8"/>
        <v>2035</v>
      </c>
      <c r="W24" s="53">
        <f t="shared" si="8"/>
        <v>2036</v>
      </c>
      <c r="X24" s="53">
        <f t="shared" si="8"/>
        <v>2037</v>
      </c>
      <c r="Y24" s="53">
        <f t="shared" si="8"/>
        <v>2038</v>
      </c>
      <c r="Z24" s="53">
        <f t="shared" si="8"/>
        <v>2039</v>
      </c>
      <c r="AA24" s="53">
        <f t="shared" si="8"/>
        <v>2040</v>
      </c>
    </row>
    <row r="25" spans="2:27" ht="30" x14ac:dyDescent="0.25">
      <c r="B25" s="43" t="s">
        <v>136</v>
      </c>
      <c r="C25" s="445"/>
      <c r="D25" s="198" t="e">
        <f>C25/(D$21/C$21)</f>
        <v>#DIV/0!</v>
      </c>
      <c r="E25" s="198" t="e">
        <f t="shared" ref="E25:AA25" si="9">D25/(E21/D21)</f>
        <v>#DIV/0!</v>
      </c>
      <c r="F25" s="198" t="e">
        <f t="shared" si="9"/>
        <v>#DIV/0!</v>
      </c>
      <c r="G25" s="198" t="e">
        <f t="shared" si="9"/>
        <v>#DIV/0!</v>
      </c>
      <c r="H25" s="198" t="e">
        <f t="shared" si="9"/>
        <v>#DIV/0!</v>
      </c>
      <c r="I25" s="198" t="e">
        <f t="shared" si="9"/>
        <v>#DIV/0!</v>
      </c>
      <c r="J25" s="198" t="e">
        <f t="shared" si="9"/>
        <v>#DIV/0!</v>
      </c>
      <c r="K25" s="198" t="e">
        <f t="shared" si="9"/>
        <v>#DIV/0!</v>
      </c>
      <c r="L25" s="198" t="e">
        <f t="shared" si="9"/>
        <v>#DIV/0!</v>
      </c>
      <c r="M25" s="198" t="e">
        <f t="shared" si="9"/>
        <v>#DIV/0!</v>
      </c>
      <c r="N25" s="198" t="e">
        <f t="shared" si="9"/>
        <v>#DIV/0!</v>
      </c>
      <c r="O25" s="198" t="e">
        <f t="shared" si="9"/>
        <v>#DIV/0!</v>
      </c>
      <c r="P25" s="198" t="e">
        <f t="shared" si="9"/>
        <v>#DIV/0!</v>
      </c>
      <c r="Q25" s="198" t="e">
        <f t="shared" si="9"/>
        <v>#DIV/0!</v>
      </c>
      <c r="R25" s="198" t="e">
        <f t="shared" si="9"/>
        <v>#DIV/0!</v>
      </c>
      <c r="S25" s="198" t="e">
        <f t="shared" si="9"/>
        <v>#DIV/0!</v>
      </c>
      <c r="T25" s="198" t="e">
        <f t="shared" si="9"/>
        <v>#DIV/0!</v>
      </c>
      <c r="U25" s="198" t="e">
        <f t="shared" si="9"/>
        <v>#DIV/0!</v>
      </c>
      <c r="V25" s="198" t="e">
        <f t="shared" si="9"/>
        <v>#DIV/0!</v>
      </c>
      <c r="W25" s="198" t="e">
        <f t="shared" si="9"/>
        <v>#DIV/0!</v>
      </c>
      <c r="X25" s="198" t="e">
        <f t="shared" si="9"/>
        <v>#DIV/0!</v>
      </c>
      <c r="Y25" s="198" t="e">
        <f t="shared" si="9"/>
        <v>#DIV/0!</v>
      </c>
      <c r="Z25" s="198" t="e">
        <f t="shared" si="9"/>
        <v>#DIV/0!</v>
      </c>
      <c r="AA25" s="198" t="e">
        <f t="shared" si="9"/>
        <v>#DIV/0!</v>
      </c>
    </row>
    <row r="26" spans="2:27" ht="30" x14ac:dyDescent="0.25">
      <c r="B26" s="43" t="s">
        <v>137</v>
      </c>
      <c r="C26" s="445"/>
      <c r="D26" s="198" t="e">
        <f>C26/(D$21/C$21)</f>
        <v>#DIV/0!</v>
      </c>
      <c r="E26" s="198" t="e">
        <f t="shared" ref="E26:AA26" si="10">D26/(E$21/D$21)</f>
        <v>#DIV/0!</v>
      </c>
      <c r="F26" s="198" t="e">
        <f t="shared" si="10"/>
        <v>#DIV/0!</v>
      </c>
      <c r="G26" s="198" t="e">
        <f t="shared" si="10"/>
        <v>#DIV/0!</v>
      </c>
      <c r="H26" s="198" t="e">
        <f t="shared" si="10"/>
        <v>#DIV/0!</v>
      </c>
      <c r="I26" s="198" t="e">
        <f t="shared" si="10"/>
        <v>#DIV/0!</v>
      </c>
      <c r="J26" s="198" t="e">
        <f t="shared" si="10"/>
        <v>#DIV/0!</v>
      </c>
      <c r="K26" s="198" t="e">
        <f t="shared" si="10"/>
        <v>#DIV/0!</v>
      </c>
      <c r="L26" s="198" t="e">
        <f t="shared" si="10"/>
        <v>#DIV/0!</v>
      </c>
      <c r="M26" s="198" t="e">
        <f t="shared" si="10"/>
        <v>#DIV/0!</v>
      </c>
      <c r="N26" s="198" t="e">
        <f t="shared" si="10"/>
        <v>#DIV/0!</v>
      </c>
      <c r="O26" s="198" t="e">
        <f t="shared" si="10"/>
        <v>#DIV/0!</v>
      </c>
      <c r="P26" s="198" t="e">
        <f t="shared" si="10"/>
        <v>#DIV/0!</v>
      </c>
      <c r="Q26" s="198" t="e">
        <f t="shared" si="10"/>
        <v>#DIV/0!</v>
      </c>
      <c r="R26" s="198" t="e">
        <f t="shared" si="10"/>
        <v>#DIV/0!</v>
      </c>
      <c r="S26" s="198" t="e">
        <f t="shared" si="10"/>
        <v>#DIV/0!</v>
      </c>
      <c r="T26" s="198" t="e">
        <f t="shared" si="10"/>
        <v>#DIV/0!</v>
      </c>
      <c r="U26" s="198" t="e">
        <f t="shared" si="10"/>
        <v>#DIV/0!</v>
      </c>
      <c r="V26" s="198" t="e">
        <f t="shared" si="10"/>
        <v>#DIV/0!</v>
      </c>
      <c r="W26" s="198" t="e">
        <f t="shared" si="10"/>
        <v>#DIV/0!</v>
      </c>
      <c r="X26" s="198" t="e">
        <f t="shared" si="10"/>
        <v>#DIV/0!</v>
      </c>
      <c r="Y26" s="198" t="e">
        <f t="shared" si="10"/>
        <v>#DIV/0!</v>
      </c>
      <c r="Z26" s="198" t="e">
        <f t="shared" si="10"/>
        <v>#DIV/0!</v>
      </c>
      <c r="AA26" s="198" t="e">
        <f t="shared" si="10"/>
        <v>#DIV/0!</v>
      </c>
    </row>
    <row r="27" spans="2:27" ht="30" x14ac:dyDescent="0.25">
      <c r="B27" s="211" t="s">
        <v>138</v>
      </c>
      <c r="C27" s="160" t="e">
        <f>(($C$13)*60/C25)*60</f>
        <v>#DIV/0!</v>
      </c>
      <c r="D27" s="160" t="e">
        <f t="shared" ref="D27:AA27" si="11">(($C$13)*60/D25)*60</f>
        <v>#DIV/0!</v>
      </c>
      <c r="E27" s="160" t="e">
        <f t="shared" si="11"/>
        <v>#DIV/0!</v>
      </c>
      <c r="F27" s="160" t="e">
        <f t="shared" si="11"/>
        <v>#DIV/0!</v>
      </c>
      <c r="G27" s="160" t="e">
        <f t="shared" si="11"/>
        <v>#DIV/0!</v>
      </c>
      <c r="H27" s="160" t="e">
        <f t="shared" si="11"/>
        <v>#DIV/0!</v>
      </c>
      <c r="I27" s="160" t="e">
        <f t="shared" si="11"/>
        <v>#DIV/0!</v>
      </c>
      <c r="J27" s="160" t="e">
        <f t="shared" si="11"/>
        <v>#DIV/0!</v>
      </c>
      <c r="K27" s="160" t="e">
        <f t="shared" si="11"/>
        <v>#DIV/0!</v>
      </c>
      <c r="L27" s="160" t="e">
        <f t="shared" si="11"/>
        <v>#DIV/0!</v>
      </c>
      <c r="M27" s="160" t="e">
        <f t="shared" si="11"/>
        <v>#DIV/0!</v>
      </c>
      <c r="N27" s="160" t="e">
        <f t="shared" si="11"/>
        <v>#DIV/0!</v>
      </c>
      <c r="O27" s="160" t="e">
        <f t="shared" si="11"/>
        <v>#DIV/0!</v>
      </c>
      <c r="P27" s="160" t="e">
        <f t="shared" si="11"/>
        <v>#DIV/0!</v>
      </c>
      <c r="Q27" s="160" t="e">
        <f t="shared" si="11"/>
        <v>#DIV/0!</v>
      </c>
      <c r="R27" s="160" t="e">
        <f t="shared" si="11"/>
        <v>#DIV/0!</v>
      </c>
      <c r="S27" s="160" t="e">
        <f t="shared" si="11"/>
        <v>#DIV/0!</v>
      </c>
      <c r="T27" s="160" t="e">
        <f t="shared" si="11"/>
        <v>#DIV/0!</v>
      </c>
      <c r="U27" s="160" t="e">
        <f t="shared" si="11"/>
        <v>#DIV/0!</v>
      </c>
      <c r="V27" s="160" t="e">
        <f t="shared" si="11"/>
        <v>#DIV/0!</v>
      </c>
      <c r="W27" s="160" t="e">
        <f t="shared" si="11"/>
        <v>#DIV/0!</v>
      </c>
      <c r="X27" s="160" t="e">
        <f t="shared" si="11"/>
        <v>#DIV/0!</v>
      </c>
      <c r="Y27" s="160" t="e">
        <f t="shared" si="11"/>
        <v>#DIV/0!</v>
      </c>
      <c r="Z27" s="160" t="e">
        <f t="shared" si="11"/>
        <v>#DIV/0!</v>
      </c>
      <c r="AA27" s="160" t="e">
        <f t="shared" si="11"/>
        <v>#DIV/0!</v>
      </c>
    </row>
    <row r="28" spans="2:27" ht="30" x14ac:dyDescent="0.25">
      <c r="B28" s="211" t="s">
        <v>139</v>
      </c>
      <c r="C28" s="160" t="e">
        <f>(($C$13)*60/C26)*60</f>
        <v>#DIV/0!</v>
      </c>
      <c r="D28" s="160" t="e">
        <f t="shared" ref="D28:AA28" si="12">(($C$13)*60/D26)*60</f>
        <v>#DIV/0!</v>
      </c>
      <c r="E28" s="160" t="e">
        <f t="shared" si="12"/>
        <v>#DIV/0!</v>
      </c>
      <c r="F28" s="160" t="e">
        <f t="shared" si="12"/>
        <v>#DIV/0!</v>
      </c>
      <c r="G28" s="160" t="e">
        <f t="shared" si="12"/>
        <v>#DIV/0!</v>
      </c>
      <c r="H28" s="160" t="e">
        <f t="shared" si="12"/>
        <v>#DIV/0!</v>
      </c>
      <c r="I28" s="160" t="e">
        <f t="shared" si="12"/>
        <v>#DIV/0!</v>
      </c>
      <c r="J28" s="160" t="e">
        <f t="shared" si="12"/>
        <v>#DIV/0!</v>
      </c>
      <c r="K28" s="160" t="e">
        <f t="shared" si="12"/>
        <v>#DIV/0!</v>
      </c>
      <c r="L28" s="160" t="e">
        <f t="shared" si="12"/>
        <v>#DIV/0!</v>
      </c>
      <c r="M28" s="160" t="e">
        <f t="shared" si="12"/>
        <v>#DIV/0!</v>
      </c>
      <c r="N28" s="160" t="e">
        <f t="shared" si="12"/>
        <v>#DIV/0!</v>
      </c>
      <c r="O28" s="160" t="e">
        <f t="shared" si="12"/>
        <v>#DIV/0!</v>
      </c>
      <c r="P28" s="160" t="e">
        <f t="shared" si="12"/>
        <v>#DIV/0!</v>
      </c>
      <c r="Q28" s="160" t="e">
        <f t="shared" si="12"/>
        <v>#DIV/0!</v>
      </c>
      <c r="R28" s="160" t="e">
        <f t="shared" si="12"/>
        <v>#DIV/0!</v>
      </c>
      <c r="S28" s="160" t="e">
        <f t="shared" si="12"/>
        <v>#DIV/0!</v>
      </c>
      <c r="T28" s="160" t="e">
        <f t="shared" si="12"/>
        <v>#DIV/0!</v>
      </c>
      <c r="U28" s="160" t="e">
        <f t="shared" si="12"/>
        <v>#DIV/0!</v>
      </c>
      <c r="V28" s="160" t="e">
        <f t="shared" si="12"/>
        <v>#DIV/0!</v>
      </c>
      <c r="W28" s="160" t="e">
        <f t="shared" si="12"/>
        <v>#DIV/0!</v>
      </c>
      <c r="X28" s="160" t="e">
        <f t="shared" si="12"/>
        <v>#DIV/0!</v>
      </c>
      <c r="Y28" s="160" t="e">
        <f t="shared" si="12"/>
        <v>#DIV/0!</v>
      </c>
      <c r="Z28" s="160" t="e">
        <f t="shared" si="12"/>
        <v>#DIV/0!</v>
      </c>
      <c r="AA28" s="160" t="e">
        <f t="shared" si="12"/>
        <v>#DIV/0!</v>
      </c>
    </row>
    <row r="29" spans="2:27" x14ac:dyDescent="0.25">
      <c r="B29" s="95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</row>
    <row r="30" spans="2:27" ht="38.25" customHeight="1" x14ac:dyDescent="0.25">
      <c r="B30" s="537" t="s">
        <v>293</v>
      </c>
      <c r="C30" s="537"/>
      <c r="D30" s="537"/>
      <c r="E30" s="537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</row>
    <row r="31" spans="2:27" x14ac:dyDescent="0.25">
      <c r="B31" s="95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</row>
    <row r="32" spans="2:27" ht="60" x14ac:dyDescent="0.25">
      <c r="B32" s="545" t="s">
        <v>294</v>
      </c>
      <c r="C32" s="546"/>
      <c r="D32" s="187" t="s">
        <v>295</v>
      </c>
      <c r="E32" s="215" t="s">
        <v>140</v>
      </c>
    </row>
    <row r="33" spans="2:27" ht="30" x14ac:dyDescent="0.25">
      <c r="B33" s="299" t="s">
        <v>125</v>
      </c>
      <c r="C33" s="303" t="s">
        <v>131</v>
      </c>
      <c r="D33" s="446"/>
      <c r="E33" s="548"/>
    </row>
    <row r="34" spans="2:27" ht="30" x14ac:dyDescent="0.25">
      <c r="B34" s="299" t="s">
        <v>126</v>
      </c>
      <c r="C34" s="303" t="s">
        <v>132</v>
      </c>
      <c r="D34" s="446"/>
      <c r="E34" s="549"/>
    </row>
    <row r="35" spans="2:27" ht="30" x14ac:dyDescent="0.25">
      <c r="B35" s="299" t="s">
        <v>127</v>
      </c>
      <c r="C35" s="303" t="s">
        <v>133</v>
      </c>
      <c r="D35" s="446"/>
      <c r="E35" s="548"/>
    </row>
    <row r="36" spans="2:27" ht="30" x14ac:dyDescent="0.25">
      <c r="B36" s="299" t="s">
        <v>128</v>
      </c>
      <c r="C36" s="303" t="s">
        <v>134</v>
      </c>
      <c r="D36" s="446"/>
      <c r="E36" s="550"/>
    </row>
    <row r="37" spans="2:27" ht="30" x14ac:dyDescent="0.25">
      <c r="B37" s="299" t="s">
        <v>129</v>
      </c>
      <c r="C37" s="303" t="s">
        <v>135</v>
      </c>
      <c r="D37" s="446"/>
      <c r="E37" s="549"/>
    </row>
    <row r="38" spans="2:27" x14ac:dyDescent="0.25">
      <c r="B38" s="124"/>
      <c r="C38" s="124"/>
      <c r="D38" s="124"/>
      <c r="E38" s="124"/>
    </row>
    <row r="39" spans="2:27" ht="30" x14ac:dyDescent="0.25">
      <c r="B39" s="280" t="s">
        <v>78</v>
      </c>
      <c r="C39" s="301">
        <f>Założenia_Predpoklady!C27/1000</f>
        <v>0</v>
      </c>
      <c r="D39" s="302" t="s">
        <v>29</v>
      </c>
      <c r="E39" s="124"/>
      <c r="F39" s="124"/>
    </row>
    <row r="40" spans="2:27" x14ac:dyDescent="0.25">
      <c r="B40" s="124"/>
      <c r="C40" s="124"/>
      <c r="D40" s="124"/>
      <c r="E40" s="124"/>
      <c r="F40" s="124"/>
    </row>
    <row r="41" spans="2:27" ht="30" x14ac:dyDescent="0.25">
      <c r="B41" s="299" t="s">
        <v>130</v>
      </c>
      <c r="C41" s="150">
        <f>C15</f>
        <v>2016</v>
      </c>
      <c r="D41" s="150">
        <f t="shared" ref="D41:AA41" si="13">D15</f>
        <v>2017</v>
      </c>
      <c r="E41" s="150">
        <f t="shared" si="13"/>
        <v>2018</v>
      </c>
      <c r="F41" s="150">
        <f t="shared" si="13"/>
        <v>2019</v>
      </c>
      <c r="G41" s="150">
        <f t="shared" si="13"/>
        <v>2020</v>
      </c>
      <c r="H41" s="150">
        <f t="shared" si="13"/>
        <v>2021</v>
      </c>
      <c r="I41" s="150">
        <f t="shared" si="13"/>
        <v>2022</v>
      </c>
      <c r="J41" s="150">
        <f t="shared" si="13"/>
        <v>2023</v>
      </c>
      <c r="K41" s="150">
        <f t="shared" si="13"/>
        <v>2024</v>
      </c>
      <c r="L41" s="150">
        <f t="shared" si="13"/>
        <v>2025</v>
      </c>
      <c r="M41" s="150">
        <f t="shared" si="13"/>
        <v>2026</v>
      </c>
      <c r="N41" s="150">
        <f t="shared" si="13"/>
        <v>2027</v>
      </c>
      <c r="O41" s="150">
        <f t="shared" si="13"/>
        <v>2028</v>
      </c>
      <c r="P41" s="150">
        <f t="shared" si="13"/>
        <v>2029</v>
      </c>
      <c r="Q41" s="150">
        <f t="shared" si="13"/>
        <v>2030</v>
      </c>
      <c r="R41" s="150">
        <f t="shared" si="13"/>
        <v>2031</v>
      </c>
      <c r="S41" s="150">
        <f t="shared" si="13"/>
        <v>2032</v>
      </c>
      <c r="T41" s="150">
        <f t="shared" si="13"/>
        <v>2033</v>
      </c>
      <c r="U41" s="150">
        <f t="shared" si="13"/>
        <v>2034</v>
      </c>
      <c r="V41" s="150">
        <f t="shared" si="13"/>
        <v>2035</v>
      </c>
      <c r="W41" s="150">
        <f t="shared" si="13"/>
        <v>2036</v>
      </c>
      <c r="X41" s="150">
        <f t="shared" si="13"/>
        <v>2037</v>
      </c>
      <c r="Y41" s="150">
        <f t="shared" si="13"/>
        <v>2038</v>
      </c>
      <c r="Z41" s="150">
        <f t="shared" si="13"/>
        <v>2039</v>
      </c>
      <c r="AA41" s="150">
        <f t="shared" si="13"/>
        <v>2040</v>
      </c>
    </row>
    <row r="42" spans="2:27" x14ac:dyDescent="0.25">
      <c r="B42" s="303" t="s">
        <v>131</v>
      </c>
      <c r="C42" s="167">
        <f>IF(C$41&gt;Założenia_Predpoklady!$C$4,(1+'An. ruchu_An. cestnej premávky'!$D33)*'An. ruchu_An. cestnej premávky'!C16,'An. ruchu_An. cestnej premávky'!C16)</f>
        <v>0</v>
      </c>
      <c r="D42" s="167">
        <f>IF(D$41&gt;Założenia_Predpoklady!$C$4,(1+'An. ruchu_An. cestnej premávky'!$D33)*'An. ruchu_An. cestnej premávky'!D16,'An. ruchu_An. cestnej premávky'!D16)</f>
        <v>0</v>
      </c>
      <c r="E42" s="167">
        <f>IF(E$41&gt;Założenia_Predpoklady!$C$4,(1+'An. ruchu_An. cestnej premávky'!$D33)*'An. ruchu_An. cestnej premávky'!E16,'An. ruchu_An. cestnej premávky'!E16)</f>
        <v>0</v>
      </c>
      <c r="F42" s="167">
        <f>IF(F$41&gt;Założenia_Predpoklady!$C$4,(1+'An. ruchu_An. cestnej premávky'!$D33)*'An. ruchu_An. cestnej premávky'!F16,'An. ruchu_An. cestnej premávky'!F16)</f>
        <v>0</v>
      </c>
      <c r="G42" s="167">
        <f>IF(G$41&gt;Założenia_Predpoklady!$C$4,(1+'An. ruchu_An. cestnej premávky'!$D33)*'An. ruchu_An. cestnej premávky'!G16,'An. ruchu_An. cestnej premávky'!G16)</f>
        <v>0</v>
      </c>
      <c r="H42" s="167">
        <f>IF(H$41&gt;Założenia_Predpoklady!$C$4,(1+'An. ruchu_An. cestnej premávky'!$D33)*'An. ruchu_An. cestnej premávky'!H16,'An. ruchu_An. cestnej premávky'!H16)</f>
        <v>0</v>
      </c>
      <c r="I42" s="167">
        <f>IF(I$41&gt;Założenia_Predpoklady!$C$4,(1+'An. ruchu_An. cestnej premávky'!$D33)*'An. ruchu_An. cestnej premávky'!I16,'An. ruchu_An. cestnej premávky'!I16)</f>
        <v>0</v>
      </c>
      <c r="J42" s="167">
        <f>IF(J$41&gt;Założenia_Predpoklady!$C$4,(1+'An. ruchu_An. cestnej premávky'!$D33)*'An. ruchu_An. cestnej premávky'!J16,'An. ruchu_An. cestnej premávky'!J16)</f>
        <v>0</v>
      </c>
      <c r="K42" s="167">
        <f>IF(K$41&gt;Założenia_Predpoklady!$C$4,(1+'An. ruchu_An. cestnej premávky'!$D33)*'An. ruchu_An. cestnej premávky'!K16,'An. ruchu_An. cestnej premávky'!K16)</f>
        <v>0</v>
      </c>
      <c r="L42" s="167">
        <f>IF(L$41&gt;Założenia_Predpoklady!$C$4,(1+'An. ruchu_An. cestnej premávky'!$D33)*'An. ruchu_An. cestnej premávky'!L16,'An. ruchu_An. cestnej premávky'!L16)</f>
        <v>0</v>
      </c>
      <c r="M42" s="167">
        <f>IF(M$41&gt;Założenia_Predpoklady!$C$4,(1+'An. ruchu_An. cestnej premávky'!$D33)*'An. ruchu_An. cestnej premávky'!M16,'An. ruchu_An. cestnej premávky'!M16)</f>
        <v>0</v>
      </c>
      <c r="N42" s="167">
        <f>IF(N$41&gt;Założenia_Predpoklady!$C$4,(1+'An. ruchu_An. cestnej premávky'!$D33)*'An. ruchu_An. cestnej premávky'!N16,'An. ruchu_An. cestnej premávky'!N16)</f>
        <v>0</v>
      </c>
      <c r="O42" s="167">
        <f>IF(O$41&gt;Założenia_Predpoklady!$C$4,(1+'An. ruchu_An. cestnej premávky'!$D33)*'An. ruchu_An. cestnej premávky'!O16,'An. ruchu_An. cestnej premávky'!O16)</f>
        <v>0</v>
      </c>
      <c r="P42" s="167">
        <f>IF(P$41&gt;Założenia_Predpoklady!$C$4,(1+'An. ruchu_An. cestnej premávky'!$D33)*'An. ruchu_An. cestnej premávky'!P16,'An. ruchu_An. cestnej premávky'!P16)</f>
        <v>0</v>
      </c>
      <c r="Q42" s="167">
        <f>IF(Q$41&gt;Założenia_Predpoklady!$C$4,(1+'An. ruchu_An. cestnej premávky'!$D33)*'An. ruchu_An. cestnej premávky'!Q16,'An. ruchu_An. cestnej premávky'!Q16)</f>
        <v>0</v>
      </c>
      <c r="R42" s="167">
        <f>IF(R$41&gt;Założenia_Predpoklady!$C$4,(1+'An. ruchu_An. cestnej premávky'!$D33)*'An. ruchu_An. cestnej premávky'!R16,'An. ruchu_An. cestnej premávky'!R16)</f>
        <v>0</v>
      </c>
      <c r="S42" s="167">
        <f>IF(S$41&gt;Założenia_Predpoklady!$C$4,(1+'An. ruchu_An. cestnej premávky'!$D33)*'An. ruchu_An. cestnej premávky'!S16,'An. ruchu_An. cestnej premávky'!S16)</f>
        <v>0</v>
      </c>
      <c r="T42" s="167">
        <f>IF(T$41&gt;Założenia_Predpoklady!$C$4,(1+'An. ruchu_An. cestnej premávky'!$D33)*'An. ruchu_An. cestnej premávky'!T16,'An. ruchu_An. cestnej premávky'!T16)</f>
        <v>0</v>
      </c>
      <c r="U42" s="167">
        <f>IF(U$41&gt;Założenia_Predpoklady!$C$4,(1+'An. ruchu_An. cestnej premávky'!$D33)*'An. ruchu_An. cestnej premávky'!U16,'An. ruchu_An. cestnej premávky'!U16)</f>
        <v>0</v>
      </c>
      <c r="V42" s="167">
        <f>IF(V$41&gt;Założenia_Predpoklady!$C$4,(1+'An. ruchu_An. cestnej premávky'!$D33)*'An. ruchu_An. cestnej premávky'!V16,'An. ruchu_An. cestnej premávky'!V16)</f>
        <v>0</v>
      </c>
      <c r="W42" s="167">
        <f>IF(W$41&gt;Założenia_Predpoklady!$C$4,(1+'An. ruchu_An. cestnej premávky'!$D33)*'An. ruchu_An. cestnej premávky'!W16,'An. ruchu_An. cestnej premávky'!W16)</f>
        <v>0</v>
      </c>
      <c r="X42" s="167">
        <f>IF(X$41&gt;Założenia_Predpoklady!$C$4,(1+'An. ruchu_An. cestnej premávky'!$D33)*'An. ruchu_An. cestnej premávky'!X16,'An. ruchu_An. cestnej premávky'!X16)</f>
        <v>0</v>
      </c>
      <c r="Y42" s="167">
        <f>IF(Y$41&gt;Założenia_Predpoklady!$C$4,(1+'An. ruchu_An. cestnej premávky'!$D33)*'An. ruchu_An. cestnej premávky'!Y16,'An. ruchu_An. cestnej premávky'!Y16)</f>
        <v>0</v>
      </c>
      <c r="Z42" s="167">
        <f>IF(Z$41&gt;Założenia_Predpoklady!$C$4,(1+'An. ruchu_An. cestnej premávky'!$D33)*'An. ruchu_An. cestnej premávky'!Z16,'An. ruchu_An. cestnej premávky'!Z16)</f>
        <v>0</v>
      </c>
      <c r="AA42" s="167">
        <f>IF(AA$41&gt;Założenia_Predpoklady!$C$4,(1+'An. ruchu_An. cestnej premávky'!$D33)*'An. ruchu_An. cestnej premávky'!AA16,'An. ruchu_An. cestnej premávky'!AA16)</f>
        <v>0</v>
      </c>
    </row>
    <row r="43" spans="2:27" x14ac:dyDescent="0.25">
      <c r="B43" s="303" t="s">
        <v>132</v>
      </c>
      <c r="C43" s="167">
        <f>IF(C$41&gt;Założenia_Predpoklady!$C$4,(1+'An. ruchu_An. cestnej premávky'!$D34)*'An. ruchu_An. cestnej premávky'!C17,'An. ruchu_An. cestnej premávky'!C17)</f>
        <v>0</v>
      </c>
      <c r="D43" s="167">
        <f>IF(D$41&gt;Założenia_Predpoklady!$C$4,(1+'An. ruchu_An. cestnej premávky'!$D34)*'An. ruchu_An. cestnej premávky'!D17,'An. ruchu_An. cestnej premávky'!D17)</f>
        <v>0</v>
      </c>
      <c r="E43" s="167">
        <f>IF(E$41&gt;Założenia_Predpoklady!$C$4,(1+'An. ruchu_An. cestnej premávky'!$D34)*'An. ruchu_An. cestnej premávky'!E17,'An. ruchu_An. cestnej premávky'!E17)</f>
        <v>0</v>
      </c>
      <c r="F43" s="167">
        <f>IF(F$41&gt;Założenia_Predpoklady!$C$4,(1+'An. ruchu_An. cestnej premávky'!$D34)*'An. ruchu_An. cestnej premávky'!F17,'An. ruchu_An. cestnej premávky'!F17)</f>
        <v>0</v>
      </c>
      <c r="G43" s="167">
        <f>IF(G$41&gt;Założenia_Predpoklady!$C$4,(1+'An. ruchu_An. cestnej premávky'!$D34)*'An. ruchu_An. cestnej premávky'!G17,'An. ruchu_An. cestnej premávky'!G17)</f>
        <v>0</v>
      </c>
      <c r="H43" s="167">
        <f>IF(H$41&gt;Założenia_Predpoklady!$C$4,(1+'An. ruchu_An. cestnej premávky'!$D34)*'An. ruchu_An. cestnej premávky'!H17,'An. ruchu_An. cestnej premávky'!H17)</f>
        <v>0</v>
      </c>
      <c r="I43" s="167">
        <f>IF(I$41&gt;Założenia_Predpoklady!$C$4,(1+'An. ruchu_An. cestnej premávky'!$D34)*'An. ruchu_An. cestnej premávky'!I17,'An. ruchu_An. cestnej premávky'!I17)</f>
        <v>0</v>
      </c>
      <c r="J43" s="167">
        <f>IF(J$41&gt;Założenia_Predpoklady!$C$4,(1+'An. ruchu_An. cestnej premávky'!$D34)*'An. ruchu_An. cestnej premávky'!J17,'An. ruchu_An. cestnej premávky'!J17)</f>
        <v>0</v>
      </c>
      <c r="K43" s="167">
        <f>IF(K$41&gt;Założenia_Predpoklady!$C$4,(1+'An. ruchu_An. cestnej premávky'!$D34)*'An. ruchu_An. cestnej premávky'!K17,'An. ruchu_An. cestnej premávky'!K17)</f>
        <v>0</v>
      </c>
      <c r="L43" s="167">
        <f>IF(L$41&gt;Założenia_Predpoklady!$C$4,(1+'An. ruchu_An. cestnej premávky'!$D34)*'An. ruchu_An. cestnej premávky'!L17,'An. ruchu_An. cestnej premávky'!L17)</f>
        <v>0</v>
      </c>
      <c r="M43" s="167">
        <f>IF(M$41&gt;Założenia_Predpoklady!$C$4,(1+'An. ruchu_An. cestnej premávky'!$D34)*'An. ruchu_An. cestnej premávky'!M17,'An. ruchu_An. cestnej premávky'!M17)</f>
        <v>0</v>
      </c>
      <c r="N43" s="167">
        <f>IF(N$41&gt;Założenia_Predpoklady!$C$4,(1+'An. ruchu_An. cestnej premávky'!$D34)*'An. ruchu_An. cestnej premávky'!N17,'An. ruchu_An. cestnej premávky'!N17)</f>
        <v>0</v>
      </c>
      <c r="O43" s="167">
        <f>IF(O$41&gt;Założenia_Predpoklady!$C$4,(1+'An. ruchu_An. cestnej premávky'!$D34)*'An. ruchu_An. cestnej premávky'!O17,'An. ruchu_An. cestnej premávky'!O17)</f>
        <v>0</v>
      </c>
      <c r="P43" s="167">
        <f>IF(P$41&gt;Założenia_Predpoklady!$C$4,(1+'An. ruchu_An. cestnej premávky'!$D34)*'An. ruchu_An. cestnej premávky'!P17,'An. ruchu_An. cestnej premávky'!P17)</f>
        <v>0</v>
      </c>
      <c r="Q43" s="167">
        <f>IF(Q$41&gt;Założenia_Predpoklady!$C$4,(1+'An. ruchu_An. cestnej premávky'!$D34)*'An. ruchu_An. cestnej premávky'!Q17,'An. ruchu_An. cestnej premávky'!Q17)</f>
        <v>0</v>
      </c>
      <c r="R43" s="167">
        <f>IF(R$41&gt;Założenia_Predpoklady!$C$4,(1+'An. ruchu_An. cestnej premávky'!$D34)*'An. ruchu_An. cestnej premávky'!R17,'An. ruchu_An. cestnej premávky'!R17)</f>
        <v>0</v>
      </c>
      <c r="S43" s="167">
        <f>IF(S$41&gt;Założenia_Predpoklady!$C$4,(1+'An. ruchu_An. cestnej premávky'!$D34)*'An. ruchu_An. cestnej premávky'!S17,'An. ruchu_An. cestnej premávky'!S17)</f>
        <v>0</v>
      </c>
      <c r="T43" s="167">
        <f>IF(T$41&gt;Założenia_Predpoklady!$C$4,(1+'An. ruchu_An. cestnej premávky'!$D34)*'An. ruchu_An. cestnej premávky'!T17,'An. ruchu_An. cestnej premávky'!T17)</f>
        <v>0</v>
      </c>
      <c r="U43" s="167">
        <f>IF(U$41&gt;Założenia_Predpoklady!$C$4,(1+'An. ruchu_An. cestnej premávky'!$D34)*'An. ruchu_An. cestnej premávky'!U17,'An. ruchu_An. cestnej premávky'!U17)</f>
        <v>0</v>
      </c>
      <c r="V43" s="167">
        <f>IF(V$41&gt;Założenia_Predpoklady!$C$4,(1+'An. ruchu_An. cestnej premávky'!$D34)*'An. ruchu_An. cestnej premávky'!V17,'An. ruchu_An. cestnej premávky'!V17)</f>
        <v>0</v>
      </c>
      <c r="W43" s="167">
        <f>IF(W$41&gt;Założenia_Predpoklady!$C$4,(1+'An. ruchu_An. cestnej premávky'!$D34)*'An. ruchu_An. cestnej premávky'!W17,'An. ruchu_An. cestnej premávky'!W17)</f>
        <v>0</v>
      </c>
      <c r="X43" s="167">
        <f>IF(X$41&gt;Założenia_Predpoklady!$C$4,(1+'An. ruchu_An. cestnej premávky'!$D34)*'An. ruchu_An. cestnej premávky'!X17,'An. ruchu_An. cestnej premávky'!X17)</f>
        <v>0</v>
      </c>
      <c r="Y43" s="167">
        <f>IF(Y$41&gt;Założenia_Predpoklady!$C$4,(1+'An. ruchu_An. cestnej premávky'!$D34)*'An. ruchu_An. cestnej premávky'!Y17,'An. ruchu_An. cestnej premávky'!Y17)</f>
        <v>0</v>
      </c>
      <c r="Z43" s="167">
        <f>IF(Z$41&gt;Założenia_Predpoklady!$C$4,(1+'An. ruchu_An. cestnej premávky'!$D34)*'An. ruchu_An. cestnej premávky'!Z17,'An. ruchu_An. cestnej premávky'!Z17)</f>
        <v>0</v>
      </c>
      <c r="AA43" s="167">
        <f>IF(AA$41&gt;Założenia_Predpoklady!$C$4,(1+'An. ruchu_An. cestnej premávky'!$D34)*'An. ruchu_An. cestnej premávky'!AA17,'An. ruchu_An. cestnej premávky'!AA17)</f>
        <v>0</v>
      </c>
    </row>
    <row r="44" spans="2:27" x14ac:dyDescent="0.25">
      <c r="B44" s="303" t="s">
        <v>133</v>
      </c>
      <c r="C44" s="167">
        <f>IF(C$41&gt;Założenia_Predpoklady!$C$4,(1+'An. ruchu_An. cestnej premávky'!$D35)*'An. ruchu_An. cestnej premávky'!C18,'An. ruchu_An. cestnej premávky'!C18)</f>
        <v>0</v>
      </c>
      <c r="D44" s="167">
        <f>IF(D$41&gt;Założenia_Predpoklady!$C$4,(1+'An. ruchu_An. cestnej premávky'!$D35)*'An. ruchu_An. cestnej premávky'!D18,'An. ruchu_An. cestnej premávky'!D18)</f>
        <v>0</v>
      </c>
      <c r="E44" s="167">
        <f>IF(E$41&gt;Założenia_Predpoklady!$C$4,(1+'An. ruchu_An. cestnej premávky'!$D35)*'An. ruchu_An. cestnej premávky'!E18,'An. ruchu_An. cestnej premávky'!E18)</f>
        <v>0</v>
      </c>
      <c r="F44" s="167">
        <f>IF(F$41&gt;Założenia_Predpoklady!$C$4,(1+'An. ruchu_An. cestnej premávky'!$D35)*'An. ruchu_An. cestnej premávky'!F18,'An. ruchu_An. cestnej premávky'!F18)</f>
        <v>0</v>
      </c>
      <c r="G44" s="167">
        <f>IF(G$41&gt;Założenia_Predpoklady!$C$4,(1+'An. ruchu_An. cestnej premávky'!$D35)*'An. ruchu_An. cestnej premávky'!G18,'An. ruchu_An. cestnej premávky'!G18)</f>
        <v>0</v>
      </c>
      <c r="H44" s="167">
        <f>IF(H$41&gt;Założenia_Predpoklady!$C$4,(1+'An. ruchu_An. cestnej premávky'!$D35)*'An. ruchu_An. cestnej premávky'!H18,'An. ruchu_An. cestnej premávky'!H18)</f>
        <v>0</v>
      </c>
      <c r="I44" s="167">
        <f>IF(I$41&gt;Założenia_Predpoklady!$C$4,(1+'An. ruchu_An. cestnej premávky'!$D35)*'An. ruchu_An. cestnej premávky'!I18,'An. ruchu_An. cestnej premávky'!I18)</f>
        <v>0</v>
      </c>
      <c r="J44" s="167">
        <f>IF(J$41&gt;Założenia_Predpoklady!$C$4,(1+'An. ruchu_An. cestnej premávky'!$D35)*'An. ruchu_An. cestnej premávky'!J18,'An. ruchu_An. cestnej premávky'!J18)</f>
        <v>0</v>
      </c>
      <c r="K44" s="167">
        <f>IF(K$41&gt;Założenia_Predpoklady!$C$4,(1+'An. ruchu_An. cestnej premávky'!$D35)*'An. ruchu_An. cestnej premávky'!K18,'An. ruchu_An. cestnej premávky'!K18)</f>
        <v>0</v>
      </c>
      <c r="L44" s="167">
        <f>IF(L$41&gt;Założenia_Predpoklady!$C$4,(1+'An. ruchu_An. cestnej premávky'!$D35)*'An. ruchu_An. cestnej premávky'!L18,'An. ruchu_An. cestnej premávky'!L18)</f>
        <v>0</v>
      </c>
      <c r="M44" s="167">
        <f>IF(M$41&gt;Założenia_Predpoklady!$C$4,(1+'An. ruchu_An. cestnej premávky'!$D35)*'An. ruchu_An. cestnej premávky'!M18,'An. ruchu_An. cestnej premávky'!M18)</f>
        <v>0</v>
      </c>
      <c r="N44" s="167">
        <f>IF(N$41&gt;Założenia_Predpoklady!$C$4,(1+'An. ruchu_An. cestnej premávky'!$D35)*'An. ruchu_An. cestnej premávky'!N18,'An. ruchu_An. cestnej premávky'!N18)</f>
        <v>0</v>
      </c>
      <c r="O44" s="167">
        <f>IF(O$41&gt;Założenia_Predpoklady!$C$4,(1+'An. ruchu_An. cestnej premávky'!$D35)*'An. ruchu_An. cestnej premávky'!O18,'An. ruchu_An. cestnej premávky'!O18)</f>
        <v>0</v>
      </c>
      <c r="P44" s="167">
        <f>IF(P$41&gt;Założenia_Predpoklady!$C$4,(1+'An. ruchu_An. cestnej premávky'!$D35)*'An. ruchu_An. cestnej premávky'!P18,'An. ruchu_An. cestnej premávky'!P18)</f>
        <v>0</v>
      </c>
      <c r="Q44" s="167">
        <f>IF(Q$41&gt;Założenia_Predpoklady!$C$4,(1+'An. ruchu_An. cestnej premávky'!$D35)*'An. ruchu_An. cestnej premávky'!Q18,'An. ruchu_An. cestnej premávky'!Q18)</f>
        <v>0</v>
      </c>
      <c r="R44" s="167">
        <f>IF(R$41&gt;Założenia_Predpoklady!$C$4,(1+'An. ruchu_An. cestnej premávky'!$D35)*'An. ruchu_An. cestnej premávky'!R18,'An. ruchu_An. cestnej premávky'!R18)</f>
        <v>0</v>
      </c>
      <c r="S44" s="167">
        <f>IF(S$41&gt;Założenia_Predpoklady!$C$4,(1+'An. ruchu_An. cestnej premávky'!$D35)*'An. ruchu_An. cestnej premávky'!S18,'An. ruchu_An. cestnej premávky'!S18)</f>
        <v>0</v>
      </c>
      <c r="T44" s="167">
        <f>IF(T$41&gt;Założenia_Predpoklady!$C$4,(1+'An. ruchu_An. cestnej premávky'!$D35)*'An. ruchu_An. cestnej premávky'!T18,'An. ruchu_An. cestnej premávky'!T18)</f>
        <v>0</v>
      </c>
      <c r="U44" s="167">
        <f>IF(U$41&gt;Założenia_Predpoklady!$C$4,(1+'An. ruchu_An. cestnej premávky'!$D35)*'An. ruchu_An. cestnej premávky'!U18,'An. ruchu_An. cestnej premávky'!U18)</f>
        <v>0</v>
      </c>
      <c r="V44" s="167">
        <f>IF(V$41&gt;Założenia_Predpoklady!$C$4,(1+'An. ruchu_An. cestnej premávky'!$D35)*'An. ruchu_An. cestnej premávky'!V18,'An. ruchu_An. cestnej premávky'!V18)</f>
        <v>0</v>
      </c>
      <c r="W44" s="167">
        <f>IF(W$41&gt;Założenia_Predpoklady!$C$4,(1+'An. ruchu_An. cestnej premávky'!$D35)*'An. ruchu_An. cestnej premávky'!W18,'An. ruchu_An. cestnej premávky'!W18)</f>
        <v>0</v>
      </c>
      <c r="X44" s="167">
        <f>IF(X$41&gt;Założenia_Predpoklady!$C$4,(1+'An. ruchu_An. cestnej premávky'!$D35)*'An. ruchu_An. cestnej premávky'!X18,'An. ruchu_An. cestnej premávky'!X18)</f>
        <v>0</v>
      </c>
      <c r="Y44" s="167">
        <f>IF(Y$41&gt;Założenia_Predpoklady!$C$4,(1+'An. ruchu_An. cestnej premávky'!$D35)*'An. ruchu_An. cestnej premávky'!Y18,'An. ruchu_An. cestnej premávky'!Y18)</f>
        <v>0</v>
      </c>
      <c r="Z44" s="167">
        <f>IF(Z$41&gt;Założenia_Predpoklady!$C$4,(1+'An. ruchu_An. cestnej premávky'!$D35)*'An. ruchu_An. cestnej premávky'!Z18,'An. ruchu_An. cestnej premávky'!Z18)</f>
        <v>0</v>
      </c>
      <c r="AA44" s="167">
        <f>IF(AA$41&gt;Założenia_Predpoklady!$C$4,(1+'An. ruchu_An. cestnej premávky'!$D35)*'An. ruchu_An. cestnej premávky'!AA18,'An. ruchu_An. cestnej premávky'!AA18)</f>
        <v>0</v>
      </c>
    </row>
    <row r="45" spans="2:27" x14ac:dyDescent="0.25">
      <c r="B45" s="303" t="s">
        <v>134</v>
      </c>
      <c r="C45" s="167">
        <f>IF(C$41&gt;Założenia_Predpoklady!$C$4,(1+'An. ruchu_An. cestnej premávky'!$D36)*'An. ruchu_An. cestnej premávky'!C19,'An. ruchu_An. cestnej premávky'!C19)</f>
        <v>0</v>
      </c>
      <c r="D45" s="167">
        <f>IF(D$41&gt;Założenia_Predpoklady!$C$4,(1+'An. ruchu_An. cestnej premávky'!$D36)*'An. ruchu_An. cestnej premávky'!D19,'An. ruchu_An. cestnej premávky'!D19)</f>
        <v>0</v>
      </c>
      <c r="E45" s="167">
        <f>IF(E$41&gt;Założenia_Predpoklady!$C$4,(1+'An. ruchu_An. cestnej premávky'!$D36)*'An. ruchu_An. cestnej premávky'!E19,'An. ruchu_An. cestnej premávky'!E19)</f>
        <v>0</v>
      </c>
      <c r="F45" s="167">
        <f>IF(F$41&gt;Założenia_Predpoklady!$C$4,(1+'An. ruchu_An. cestnej premávky'!$D36)*'An. ruchu_An. cestnej premávky'!F19,'An. ruchu_An. cestnej premávky'!F19)</f>
        <v>0</v>
      </c>
      <c r="G45" s="167">
        <f>IF(G$41&gt;Założenia_Predpoklady!$C$4,(1+'An. ruchu_An. cestnej premávky'!$D36)*'An. ruchu_An. cestnej premávky'!G19,'An. ruchu_An. cestnej premávky'!G19)</f>
        <v>0</v>
      </c>
      <c r="H45" s="167">
        <f>IF(H$41&gt;Założenia_Predpoklady!$C$4,(1+'An. ruchu_An. cestnej premávky'!$D36)*'An. ruchu_An. cestnej premávky'!H19,'An. ruchu_An. cestnej premávky'!H19)</f>
        <v>0</v>
      </c>
      <c r="I45" s="167">
        <f>IF(I$41&gt;Założenia_Predpoklady!$C$4,(1+'An. ruchu_An. cestnej premávky'!$D36)*'An. ruchu_An. cestnej premávky'!I19,'An. ruchu_An. cestnej premávky'!I19)</f>
        <v>0</v>
      </c>
      <c r="J45" s="167">
        <f>IF(J$41&gt;Założenia_Predpoklady!$C$4,(1+'An. ruchu_An. cestnej premávky'!$D36)*'An. ruchu_An. cestnej premávky'!J19,'An. ruchu_An. cestnej premávky'!J19)</f>
        <v>0</v>
      </c>
      <c r="K45" s="167">
        <f>IF(K$41&gt;Założenia_Predpoklady!$C$4,(1+'An. ruchu_An. cestnej premávky'!$D36)*'An. ruchu_An. cestnej premávky'!K19,'An. ruchu_An. cestnej premávky'!K19)</f>
        <v>0</v>
      </c>
      <c r="L45" s="167">
        <f>IF(L$41&gt;Założenia_Predpoklady!$C$4,(1+'An. ruchu_An. cestnej premávky'!$D36)*'An. ruchu_An. cestnej premávky'!L19,'An. ruchu_An. cestnej premávky'!L19)</f>
        <v>0</v>
      </c>
      <c r="M45" s="167">
        <f>IF(M$41&gt;Założenia_Predpoklady!$C$4,(1+'An. ruchu_An. cestnej premávky'!$D36)*'An. ruchu_An. cestnej premávky'!M19,'An. ruchu_An. cestnej premávky'!M19)</f>
        <v>0</v>
      </c>
      <c r="N45" s="167">
        <f>IF(N$41&gt;Założenia_Predpoklady!$C$4,(1+'An. ruchu_An. cestnej premávky'!$D36)*'An. ruchu_An. cestnej premávky'!N19,'An. ruchu_An. cestnej premávky'!N19)</f>
        <v>0</v>
      </c>
      <c r="O45" s="167">
        <f>IF(O$41&gt;Założenia_Predpoklady!$C$4,(1+'An. ruchu_An. cestnej premávky'!$D36)*'An. ruchu_An. cestnej premávky'!O19,'An. ruchu_An. cestnej premávky'!O19)</f>
        <v>0</v>
      </c>
      <c r="P45" s="167">
        <f>IF(P$41&gt;Założenia_Predpoklady!$C$4,(1+'An. ruchu_An. cestnej premávky'!$D36)*'An. ruchu_An. cestnej premávky'!P19,'An. ruchu_An. cestnej premávky'!P19)</f>
        <v>0</v>
      </c>
      <c r="Q45" s="167">
        <f>IF(Q$41&gt;Założenia_Predpoklady!$C$4,(1+'An. ruchu_An. cestnej premávky'!$D36)*'An. ruchu_An. cestnej premávky'!Q19,'An. ruchu_An. cestnej premávky'!Q19)</f>
        <v>0</v>
      </c>
      <c r="R45" s="167">
        <f>IF(R$41&gt;Założenia_Predpoklady!$C$4,(1+'An. ruchu_An. cestnej premávky'!$D36)*'An. ruchu_An. cestnej premávky'!R19,'An. ruchu_An. cestnej premávky'!R19)</f>
        <v>0</v>
      </c>
      <c r="S45" s="167">
        <f>IF(S$41&gt;Założenia_Predpoklady!$C$4,(1+'An. ruchu_An. cestnej premávky'!$D36)*'An. ruchu_An. cestnej premávky'!S19,'An. ruchu_An. cestnej premávky'!S19)</f>
        <v>0</v>
      </c>
      <c r="T45" s="167">
        <f>IF(T$41&gt;Założenia_Predpoklady!$C$4,(1+'An. ruchu_An. cestnej premávky'!$D36)*'An. ruchu_An. cestnej premávky'!T19,'An. ruchu_An. cestnej premávky'!T19)</f>
        <v>0</v>
      </c>
      <c r="U45" s="167">
        <f>IF(U$41&gt;Założenia_Predpoklady!$C$4,(1+'An. ruchu_An. cestnej premávky'!$D36)*'An. ruchu_An. cestnej premávky'!U19,'An. ruchu_An. cestnej premávky'!U19)</f>
        <v>0</v>
      </c>
      <c r="V45" s="167">
        <f>IF(V$41&gt;Założenia_Predpoklady!$C$4,(1+'An. ruchu_An. cestnej premávky'!$D36)*'An. ruchu_An. cestnej premávky'!V19,'An. ruchu_An. cestnej premávky'!V19)</f>
        <v>0</v>
      </c>
      <c r="W45" s="167">
        <f>IF(W$41&gt;Założenia_Predpoklady!$C$4,(1+'An. ruchu_An. cestnej premávky'!$D36)*'An. ruchu_An. cestnej premávky'!W19,'An. ruchu_An. cestnej premávky'!W19)</f>
        <v>0</v>
      </c>
      <c r="X45" s="167">
        <f>IF(X$41&gt;Założenia_Predpoklady!$C$4,(1+'An. ruchu_An. cestnej premávky'!$D36)*'An. ruchu_An. cestnej premávky'!X19,'An. ruchu_An. cestnej premávky'!X19)</f>
        <v>0</v>
      </c>
      <c r="Y45" s="167">
        <f>IF(Y$41&gt;Założenia_Predpoklady!$C$4,(1+'An. ruchu_An. cestnej premávky'!$D36)*'An. ruchu_An. cestnej premávky'!Y19,'An. ruchu_An. cestnej premávky'!Y19)</f>
        <v>0</v>
      </c>
      <c r="Z45" s="167">
        <f>IF(Z$41&gt;Założenia_Predpoklady!$C$4,(1+'An. ruchu_An. cestnej premávky'!$D36)*'An. ruchu_An. cestnej premávky'!Z19,'An. ruchu_An. cestnej premávky'!Z19)</f>
        <v>0</v>
      </c>
      <c r="AA45" s="167">
        <f>IF(AA$41&gt;Założenia_Predpoklady!$C$4,(1+'An. ruchu_An. cestnej premávky'!$D36)*'An. ruchu_An. cestnej premávky'!AA19,'An. ruchu_An. cestnej premávky'!AA19)</f>
        <v>0</v>
      </c>
    </row>
    <row r="46" spans="2:27" x14ac:dyDescent="0.25">
      <c r="B46" s="303" t="s">
        <v>135</v>
      </c>
      <c r="C46" s="167">
        <f>IF(C$41&gt;Założenia_Predpoklady!$C$4,(1+'An. ruchu_An. cestnej premávky'!$D37)*'An. ruchu_An. cestnej premávky'!C20,'An. ruchu_An. cestnej premávky'!C20)</f>
        <v>0</v>
      </c>
      <c r="D46" s="167">
        <f>IF(D$41&gt;Założenia_Predpoklady!$C$4,(1+'An. ruchu_An. cestnej premávky'!$D37)*'An. ruchu_An. cestnej premávky'!D20,'An. ruchu_An. cestnej premávky'!D20)</f>
        <v>0</v>
      </c>
      <c r="E46" s="167">
        <f>IF(E$41&gt;Założenia_Predpoklady!$C$4,(1+'An. ruchu_An. cestnej premávky'!$D37)*'An. ruchu_An. cestnej premávky'!E20,'An. ruchu_An. cestnej premávky'!E20)</f>
        <v>0</v>
      </c>
      <c r="F46" s="167">
        <f>IF(F$41&gt;Założenia_Predpoklady!$C$4,(1+'An. ruchu_An. cestnej premávky'!$D37)*'An. ruchu_An. cestnej premávky'!F20,'An. ruchu_An. cestnej premávky'!F20)</f>
        <v>0</v>
      </c>
      <c r="G46" s="167">
        <f>IF(G$41&gt;Założenia_Predpoklady!$C$4,(1+'An. ruchu_An. cestnej premávky'!$D37)*'An. ruchu_An. cestnej premávky'!G20,'An. ruchu_An. cestnej premávky'!G20)</f>
        <v>0</v>
      </c>
      <c r="H46" s="167">
        <f>IF(H$41&gt;Założenia_Predpoklady!$C$4,(1+'An. ruchu_An. cestnej premávky'!$D37)*'An. ruchu_An. cestnej premávky'!H20,'An. ruchu_An. cestnej premávky'!H20)</f>
        <v>0</v>
      </c>
      <c r="I46" s="167">
        <f>IF(I$41&gt;Założenia_Predpoklady!$C$4,(1+'An. ruchu_An. cestnej premávky'!$D37)*'An. ruchu_An. cestnej premávky'!I20,'An. ruchu_An. cestnej premávky'!I20)</f>
        <v>0</v>
      </c>
      <c r="J46" s="167">
        <f>IF(J$41&gt;Założenia_Predpoklady!$C$4,(1+'An. ruchu_An. cestnej premávky'!$D37)*'An. ruchu_An. cestnej premávky'!J20,'An. ruchu_An. cestnej premávky'!J20)</f>
        <v>0</v>
      </c>
      <c r="K46" s="167">
        <f>IF(K$41&gt;Założenia_Predpoklady!$C$4,(1+'An. ruchu_An. cestnej premávky'!$D37)*'An. ruchu_An. cestnej premávky'!K20,'An. ruchu_An. cestnej premávky'!K20)</f>
        <v>0</v>
      </c>
      <c r="L46" s="167">
        <f>IF(L$41&gt;Założenia_Predpoklady!$C$4,(1+'An. ruchu_An. cestnej premávky'!$D37)*'An. ruchu_An. cestnej premávky'!L20,'An. ruchu_An. cestnej premávky'!L20)</f>
        <v>0</v>
      </c>
      <c r="M46" s="167">
        <f>IF(M$41&gt;Założenia_Predpoklady!$C$4,(1+'An. ruchu_An. cestnej premávky'!$D37)*'An. ruchu_An. cestnej premávky'!M20,'An. ruchu_An. cestnej premávky'!M20)</f>
        <v>0</v>
      </c>
      <c r="N46" s="167">
        <f>IF(N$41&gt;Założenia_Predpoklady!$C$4,(1+'An. ruchu_An. cestnej premávky'!$D37)*'An. ruchu_An. cestnej premávky'!N20,'An. ruchu_An. cestnej premávky'!N20)</f>
        <v>0</v>
      </c>
      <c r="O46" s="167">
        <f>IF(O$41&gt;Założenia_Predpoklady!$C$4,(1+'An. ruchu_An. cestnej premávky'!$D37)*'An. ruchu_An. cestnej premávky'!O20,'An. ruchu_An. cestnej premávky'!O20)</f>
        <v>0</v>
      </c>
      <c r="P46" s="167">
        <f>IF(P$41&gt;Założenia_Predpoklady!$C$4,(1+'An. ruchu_An. cestnej premávky'!$D37)*'An. ruchu_An. cestnej premávky'!P20,'An. ruchu_An. cestnej premávky'!P20)</f>
        <v>0</v>
      </c>
      <c r="Q46" s="167">
        <f>IF(Q$41&gt;Założenia_Predpoklady!$C$4,(1+'An. ruchu_An. cestnej premávky'!$D37)*'An. ruchu_An. cestnej premávky'!Q20,'An. ruchu_An. cestnej premávky'!Q20)</f>
        <v>0</v>
      </c>
      <c r="R46" s="167">
        <f>IF(R$41&gt;Założenia_Predpoklady!$C$4,(1+'An. ruchu_An. cestnej premávky'!$D37)*'An. ruchu_An. cestnej premávky'!R20,'An. ruchu_An. cestnej premávky'!R20)</f>
        <v>0</v>
      </c>
      <c r="S46" s="167">
        <f>IF(S$41&gt;Założenia_Predpoklady!$C$4,(1+'An. ruchu_An. cestnej premávky'!$D37)*'An. ruchu_An. cestnej premávky'!S20,'An. ruchu_An. cestnej premávky'!S20)</f>
        <v>0</v>
      </c>
      <c r="T46" s="167">
        <f>IF(T$41&gt;Założenia_Predpoklady!$C$4,(1+'An. ruchu_An. cestnej premávky'!$D37)*'An. ruchu_An. cestnej premávky'!T20,'An. ruchu_An. cestnej premávky'!T20)</f>
        <v>0</v>
      </c>
      <c r="U46" s="167">
        <f>IF(U$41&gt;Założenia_Predpoklady!$C$4,(1+'An. ruchu_An. cestnej premávky'!$D37)*'An. ruchu_An. cestnej premávky'!U20,'An. ruchu_An. cestnej premávky'!U20)</f>
        <v>0</v>
      </c>
      <c r="V46" s="167">
        <f>IF(V$41&gt;Założenia_Predpoklady!$C$4,(1+'An. ruchu_An. cestnej premávky'!$D37)*'An. ruchu_An. cestnej premávky'!V20,'An. ruchu_An. cestnej premávky'!V20)</f>
        <v>0</v>
      </c>
      <c r="W46" s="167">
        <f>IF(W$41&gt;Założenia_Predpoklady!$C$4,(1+'An. ruchu_An. cestnej premávky'!$D37)*'An. ruchu_An. cestnej premávky'!W20,'An. ruchu_An. cestnej premávky'!W20)</f>
        <v>0</v>
      </c>
      <c r="X46" s="167">
        <f>IF(X$41&gt;Założenia_Predpoklady!$C$4,(1+'An. ruchu_An. cestnej premávky'!$D37)*'An. ruchu_An. cestnej premávky'!X20,'An. ruchu_An. cestnej premávky'!X20)</f>
        <v>0</v>
      </c>
      <c r="Y46" s="167">
        <f>IF(Y$41&gt;Założenia_Predpoklady!$C$4,(1+'An. ruchu_An. cestnej premávky'!$D37)*'An. ruchu_An. cestnej premávky'!Y20,'An. ruchu_An. cestnej premávky'!Y20)</f>
        <v>0</v>
      </c>
      <c r="Z46" s="167">
        <f>IF(Z$41&gt;Założenia_Predpoklady!$C$4,(1+'An. ruchu_An. cestnej premávky'!$D37)*'An. ruchu_An. cestnej premávky'!Z20,'An. ruchu_An. cestnej premávky'!Z20)</f>
        <v>0</v>
      </c>
      <c r="AA46" s="167">
        <f>IF(AA$41&gt;Założenia_Predpoklady!$C$4,(1+'An. ruchu_An. cestnej premávky'!$D37)*'An. ruchu_An. cestnej premávky'!AA20,'An. ruchu_An. cestnej premávky'!AA20)</f>
        <v>0</v>
      </c>
    </row>
    <row r="47" spans="2:27" ht="36" x14ac:dyDescent="0.35">
      <c r="B47" s="300" t="s">
        <v>296</v>
      </c>
      <c r="C47" s="165">
        <f>SUM(C42:C46)</f>
        <v>0</v>
      </c>
      <c r="D47" s="165">
        <f>SUM(D42:D46)</f>
        <v>0</v>
      </c>
      <c r="E47" s="165">
        <f t="shared" ref="E47:AA47" si="14">SUM(E42:E46)</f>
        <v>0</v>
      </c>
      <c r="F47" s="165">
        <f t="shared" si="14"/>
        <v>0</v>
      </c>
      <c r="G47" s="165">
        <f t="shared" si="14"/>
        <v>0</v>
      </c>
      <c r="H47" s="165">
        <f t="shared" si="14"/>
        <v>0</v>
      </c>
      <c r="I47" s="165">
        <f t="shared" si="14"/>
        <v>0</v>
      </c>
      <c r="J47" s="165">
        <f t="shared" si="14"/>
        <v>0</v>
      </c>
      <c r="K47" s="165">
        <f t="shared" si="14"/>
        <v>0</v>
      </c>
      <c r="L47" s="165">
        <f t="shared" si="14"/>
        <v>0</v>
      </c>
      <c r="M47" s="165">
        <f t="shared" si="14"/>
        <v>0</v>
      </c>
      <c r="N47" s="165">
        <f t="shared" si="14"/>
        <v>0</v>
      </c>
      <c r="O47" s="165">
        <f t="shared" si="14"/>
        <v>0</v>
      </c>
      <c r="P47" s="165">
        <f t="shared" si="14"/>
        <v>0</v>
      </c>
      <c r="Q47" s="165">
        <f t="shared" si="14"/>
        <v>0</v>
      </c>
      <c r="R47" s="165">
        <f t="shared" si="14"/>
        <v>0</v>
      </c>
      <c r="S47" s="165">
        <f t="shared" si="14"/>
        <v>0</v>
      </c>
      <c r="T47" s="165">
        <f t="shared" si="14"/>
        <v>0</v>
      </c>
      <c r="U47" s="165">
        <f t="shared" si="14"/>
        <v>0</v>
      </c>
      <c r="V47" s="165">
        <f t="shared" si="14"/>
        <v>0</v>
      </c>
      <c r="W47" s="165">
        <f t="shared" si="14"/>
        <v>0</v>
      </c>
      <c r="X47" s="165">
        <f t="shared" si="14"/>
        <v>0</v>
      </c>
      <c r="Y47" s="165">
        <f t="shared" si="14"/>
        <v>0</v>
      </c>
      <c r="Z47" s="165">
        <f t="shared" si="14"/>
        <v>0</v>
      </c>
      <c r="AA47" s="165">
        <f t="shared" si="14"/>
        <v>0</v>
      </c>
    </row>
    <row r="48" spans="2:27" ht="36" x14ac:dyDescent="0.35">
      <c r="B48" s="300" t="s">
        <v>141</v>
      </c>
      <c r="C48" s="165">
        <f>C47-C21</f>
        <v>0</v>
      </c>
      <c r="D48" s="165">
        <f t="shared" ref="D48:AA48" si="15">D47-D21</f>
        <v>0</v>
      </c>
      <c r="E48" s="165">
        <f t="shared" si="15"/>
        <v>0</v>
      </c>
      <c r="F48" s="165">
        <f t="shared" si="15"/>
        <v>0</v>
      </c>
      <c r="G48" s="165">
        <f t="shared" si="15"/>
        <v>0</v>
      </c>
      <c r="H48" s="165">
        <f t="shared" si="15"/>
        <v>0</v>
      </c>
      <c r="I48" s="165">
        <f t="shared" si="15"/>
        <v>0</v>
      </c>
      <c r="J48" s="165">
        <f t="shared" si="15"/>
        <v>0</v>
      </c>
      <c r="K48" s="165">
        <f t="shared" si="15"/>
        <v>0</v>
      </c>
      <c r="L48" s="165">
        <f t="shared" si="15"/>
        <v>0</v>
      </c>
      <c r="M48" s="165">
        <f t="shared" si="15"/>
        <v>0</v>
      </c>
      <c r="N48" s="165">
        <f t="shared" si="15"/>
        <v>0</v>
      </c>
      <c r="O48" s="165">
        <f t="shared" si="15"/>
        <v>0</v>
      </c>
      <c r="P48" s="165">
        <f t="shared" si="15"/>
        <v>0</v>
      </c>
      <c r="Q48" s="165">
        <f t="shared" si="15"/>
        <v>0</v>
      </c>
      <c r="R48" s="165">
        <f t="shared" si="15"/>
        <v>0</v>
      </c>
      <c r="S48" s="165">
        <f t="shared" si="15"/>
        <v>0</v>
      </c>
      <c r="T48" s="165">
        <f t="shared" si="15"/>
        <v>0</v>
      </c>
      <c r="U48" s="165">
        <f t="shared" si="15"/>
        <v>0</v>
      </c>
      <c r="V48" s="165">
        <f t="shared" si="15"/>
        <v>0</v>
      </c>
      <c r="W48" s="165">
        <f t="shared" si="15"/>
        <v>0</v>
      </c>
      <c r="X48" s="165">
        <f t="shared" si="15"/>
        <v>0</v>
      </c>
      <c r="Y48" s="165">
        <f t="shared" si="15"/>
        <v>0</v>
      </c>
      <c r="Z48" s="165">
        <f t="shared" si="15"/>
        <v>0</v>
      </c>
      <c r="AA48" s="165">
        <f t="shared" si="15"/>
        <v>0</v>
      </c>
    </row>
    <row r="49" spans="2:27" ht="30" x14ac:dyDescent="0.25">
      <c r="B49" s="299" t="s">
        <v>291</v>
      </c>
      <c r="C49" s="193">
        <f>C47*$C$39*365/1000</f>
        <v>0</v>
      </c>
      <c r="D49" s="193">
        <f t="shared" ref="D49:AA49" si="16">D47*$C$13*365/1000</f>
        <v>0</v>
      </c>
      <c r="E49" s="193">
        <f t="shared" si="16"/>
        <v>0</v>
      </c>
      <c r="F49" s="193">
        <f t="shared" si="16"/>
        <v>0</v>
      </c>
      <c r="G49" s="193">
        <f t="shared" si="16"/>
        <v>0</v>
      </c>
      <c r="H49" s="193">
        <f t="shared" si="16"/>
        <v>0</v>
      </c>
      <c r="I49" s="193">
        <f t="shared" si="16"/>
        <v>0</v>
      </c>
      <c r="J49" s="193">
        <f t="shared" si="16"/>
        <v>0</v>
      </c>
      <c r="K49" s="193">
        <f t="shared" si="16"/>
        <v>0</v>
      </c>
      <c r="L49" s="193">
        <f t="shared" si="16"/>
        <v>0</v>
      </c>
      <c r="M49" s="193">
        <f t="shared" si="16"/>
        <v>0</v>
      </c>
      <c r="N49" s="193">
        <f t="shared" si="16"/>
        <v>0</v>
      </c>
      <c r="O49" s="193">
        <f t="shared" si="16"/>
        <v>0</v>
      </c>
      <c r="P49" s="193">
        <f t="shared" si="16"/>
        <v>0</v>
      </c>
      <c r="Q49" s="193">
        <f t="shared" si="16"/>
        <v>0</v>
      </c>
      <c r="R49" s="193">
        <f t="shared" si="16"/>
        <v>0</v>
      </c>
      <c r="S49" s="193">
        <f t="shared" si="16"/>
        <v>0</v>
      </c>
      <c r="T49" s="193">
        <f t="shared" si="16"/>
        <v>0</v>
      </c>
      <c r="U49" s="193">
        <f t="shared" si="16"/>
        <v>0</v>
      </c>
      <c r="V49" s="193">
        <f t="shared" si="16"/>
        <v>0</v>
      </c>
      <c r="W49" s="193">
        <f t="shared" si="16"/>
        <v>0</v>
      </c>
      <c r="X49" s="193">
        <f t="shared" si="16"/>
        <v>0</v>
      </c>
      <c r="Y49" s="193">
        <f t="shared" si="16"/>
        <v>0</v>
      </c>
      <c r="Z49" s="193">
        <f t="shared" si="16"/>
        <v>0</v>
      </c>
      <c r="AA49" s="193">
        <f t="shared" si="16"/>
        <v>0</v>
      </c>
    </row>
    <row r="50" spans="2:27" x14ac:dyDescent="0.25">
      <c r="B50" s="191"/>
      <c r="C50" s="124"/>
      <c r="D50" s="124"/>
      <c r="E50" s="124"/>
    </row>
    <row r="51" spans="2:27" ht="30" x14ac:dyDescent="0.25">
      <c r="B51" s="273" t="s">
        <v>297</v>
      </c>
      <c r="C51" s="149">
        <f>C41</f>
        <v>2016</v>
      </c>
      <c r="D51" s="149">
        <f t="shared" ref="D51:AA51" si="17">D41</f>
        <v>2017</v>
      </c>
      <c r="E51" s="149">
        <f t="shared" si="17"/>
        <v>2018</v>
      </c>
      <c r="F51" s="53">
        <f t="shared" si="17"/>
        <v>2019</v>
      </c>
      <c r="G51" s="53">
        <f t="shared" si="17"/>
        <v>2020</v>
      </c>
      <c r="H51" s="53">
        <f t="shared" si="17"/>
        <v>2021</v>
      </c>
      <c r="I51" s="53">
        <f t="shared" si="17"/>
        <v>2022</v>
      </c>
      <c r="J51" s="53">
        <f t="shared" si="17"/>
        <v>2023</v>
      </c>
      <c r="K51" s="53">
        <f t="shared" si="17"/>
        <v>2024</v>
      </c>
      <c r="L51" s="53">
        <f t="shared" si="17"/>
        <v>2025</v>
      </c>
      <c r="M51" s="53">
        <f t="shared" si="17"/>
        <v>2026</v>
      </c>
      <c r="N51" s="53">
        <f t="shared" si="17"/>
        <v>2027</v>
      </c>
      <c r="O51" s="53">
        <f t="shared" si="17"/>
        <v>2028</v>
      </c>
      <c r="P51" s="53">
        <f t="shared" si="17"/>
        <v>2029</v>
      </c>
      <c r="Q51" s="53">
        <f t="shared" si="17"/>
        <v>2030</v>
      </c>
      <c r="R51" s="53">
        <f t="shared" si="17"/>
        <v>2031</v>
      </c>
      <c r="S51" s="53">
        <f t="shared" si="17"/>
        <v>2032</v>
      </c>
      <c r="T51" s="53">
        <f t="shared" si="17"/>
        <v>2033</v>
      </c>
      <c r="U51" s="53">
        <f t="shared" si="17"/>
        <v>2034</v>
      </c>
      <c r="V51" s="53">
        <f t="shared" si="17"/>
        <v>2035</v>
      </c>
      <c r="W51" s="53">
        <f t="shared" si="17"/>
        <v>2036</v>
      </c>
      <c r="X51" s="53">
        <f t="shared" si="17"/>
        <v>2037</v>
      </c>
      <c r="Y51" s="53">
        <f t="shared" si="17"/>
        <v>2038</v>
      </c>
      <c r="Z51" s="53">
        <f t="shared" si="17"/>
        <v>2039</v>
      </c>
      <c r="AA51" s="53">
        <f t="shared" si="17"/>
        <v>2040</v>
      </c>
    </row>
    <row r="52" spans="2:27" ht="30" x14ac:dyDescent="0.25">
      <c r="B52" s="43" t="s">
        <v>136</v>
      </c>
      <c r="C52" s="216">
        <f>IF(C$51-Założenia_Predpoklady!$C$4&gt;0,C25*(1+$E$33),C25)</f>
        <v>0</v>
      </c>
      <c r="D52" s="216" t="e">
        <f>IF(D$51-Założenia_Predpoklady!$C$4&gt;0,D25*(1+$E$33),D25)</f>
        <v>#DIV/0!</v>
      </c>
      <c r="E52" s="216" t="e">
        <f>IF(E$51-Założenia_Predpoklady!$C$4&gt;0,E25*(1+$E$33),E25)</f>
        <v>#DIV/0!</v>
      </c>
      <c r="F52" s="216" t="e">
        <f>IF(F$51-Założenia_Predpoklady!$C$4&gt;0,F25*(1+$E$33),F25)</f>
        <v>#DIV/0!</v>
      </c>
      <c r="G52" s="216" t="e">
        <f>IF(G$51-Założenia_Predpoklady!$C$4&gt;0,G25*(1+$E$33),G25)</f>
        <v>#DIV/0!</v>
      </c>
      <c r="H52" s="216" t="e">
        <f>IF(H$51-Założenia_Predpoklady!$C$4&gt;0,H25*(1+$E$33),H25)</f>
        <v>#DIV/0!</v>
      </c>
      <c r="I52" s="216" t="e">
        <f>IF(I$51-Założenia_Predpoklady!$C$4&gt;0,I25*(1+$E$33),I25)</f>
        <v>#DIV/0!</v>
      </c>
      <c r="J52" s="216" t="e">
        <f>IF(J$51-Założenia_Predpoklady!$C$4&gt;0,J25*(1+$E$33),J25)</f>
        <v>#DIV/0!</v>
      </c>
      <c r="K52" s="216" t="e">
        <f>IF(K$51-Założenia_Predpoklady!$C$4&gt;0,K25*(1+$E$33),K25)</f>
        <v>#DIV/0!</v>
      </c>
      <c r="L52" s="216" t="e">
        <f>IF(L$51-Założenia_Predpoklady!$C$4&gt;0,L25*(1+$E$33),L25)</f>
        <v>#DIV/0!</v>
      </c>
      <c r="M52" s="216" t="e">
        <f>IF(M$51-Założenia_Predpoklady!$C$4&gt;0,M25*(1+$E$33),M25)</f>
        <v>#DIV/0!</v>
      </c>
      <c r="N52" s="216" t="e">
        <f>IF(N$51-Założenia_Predpoklady!$C$4&gt;0,N25*(1+$E$33),N25)</f>
        <v>#DIV/0!</v>
      </c>
      <c r="O52" s="216" t="e">
        <f>IF(O$51-Założenia_Predpoklady!$C$4&gt;0,O25*(1+$E$33),O25)</f>
        <v>#DIV/0!</v>
      </c>
      <c r="P52" s="216" t="e">
        <f>IF(P$51-Założenia_Predpoklady!$C$4&gt;0,P25*(1+$E$33),P25)</f>
        <v>#DIV/0!</v>
      </c>
      <c r="Q52" s="216" t="e">
        <f>IF(Q$51-Założenia_Predpoklady!$C$4&gt;0,Q25*(1+$E$33),Q25)</f>
        <v>#DIV/0!</v>
      </c>
      <c r="R52" s="216" t="e">
        <f>IF(R$51-Założenia_Predpoklady!$C$4&gt;0,R25*(1+$E$33),R25)</f>
        <v>#DIV/0!</v>
      </c>
      <c r="S52" s="216" t="e">
        <f>IF(S$51-Założenia_Predpoklady!$C$4&gt;0,S25*(1+$E$33),S25)</f>
        <v>#DIV/0!</v>
      </c>
      <c r="T52" s="216" t="e">
        <f>IF(T$51-Założenia_Predpoklady!$C$4&gt;0,T25*(1+$E$33),T25)</f>
        <v>#DIV/0!</v>
      </c>
      <c r="U52" s="216" t="e">
        <f>IF(U$51-Założenia_Predpoklady!$C$4&gt;0,U25*(1+$E$33),U25)</f>
        <v>#DIV/0!</v>
      </c>
      <c r="V52" s="216" t="e">
        <f>IF(V$51-Założenia_Predpoklady!$C$4&gt;0,V25*(1+$E$33),V25)</f>
        <v>#DIV/0!</v>
      </c>
      <c r="W52" s="216" t="e">
        <f>IF(W$51-Założenia_Predpoklady!$C$4&gt;0,W25*(1+$E$33),W25)</f>
        <v>#DIV/0!</v>
      </c>
      <c r="X52" s="216" t="e">
        <f>IF(X$51-Założenia_Predpoklady!$C$4&gt;0,X25*(1+$E$33),X25)</f>
        <v>#DIV/0!</v>
      </c>
      <c r="Y52" s="216" t="e">
        <f>IF(Y$51-Założenia_Predpoklady!$C$4&gt;0,Y25*(1+$E$33),Y25)</f>
        <v>#DIV/0!</v>
      </c>
      <c r="Z52" s="216" t="e">
        <f>IF(Z$51-Założenia_Predpoklady!$C$4&gt;0,Z25*(1+$E$33),Z25)</f>
        <v>#DIV/0!</v>
      </c>
      <c r="AA52" s="216" t="e">
        <f>IF(AA$51-Założenia_Predpoklady!$C$4&gt;0,AA25*(1+$E$33),AA25)</f>
        <v>#DIV/0!</v>
      </c>
    </row>
    <row r="53" spans="2:27" ht="30" x14ac:dyDescent="0.25">
      <c r="B53" s="43" t="s">
        <v>137</v>
      </c>
      <c r="C53" s="216">
        <f>IF(C$51-Założenia_Predpoklady!$C$4&gt;0,C26*(1+$E$35),C26)</f>
        <v>0</v>
      </c>
      <c r="D53" s="216" t="e">
        <f>IF(D$51-Założenia_Predpoklady!$C$4&gt;0,D26*(1+$E$35),D26)</f>
        <v>#DIV/0!</v>
      </c>
      <c r="E53" s="216" t="e">
        <f>IF(E$51-Założenia_Predpoklady!$C$4&gt;0,E26*(1+$E$35),E26)</f>
        <v>#DIV/0!</v>
      </c>
      <c r="F53" s="216" t="e">
        <f>IF(F$51-Założenia_Predpoklady!$C$4&gt;0,F26*(1+$E$35),F26)</f>
        <v>#DIV/0!</v>
      </c>
      <c r="G53" s="216" t="e">
        <f>IF(G$51-Założenia_Predpoklady!$C$4&gt;0,G26*(1+$E$35),G26)</f>
        <v>#DIV/0!</v>
      </c>
      <c r="H53" s="216" t="e">
        <f>IF(H$51-Założenia_Predpoklady!$C$4&gt;0,H26*(1+$E$35),H26)</f>
        <v>#DIV/0!</v>
      </c>
      <c r="I53" s="216" t="e">
        <f>IF(I$51-Założenia_Predpoklady!$C$4&gt;0,I26*(1+$E$35),I26)</f>
        <v>#DIV/0!</v>
      </c>
      <c r="J53" s="216" t="e">
        <f>IF(J$51-Założenia_Predpoklady!$C$4&gt;0,J26*(1+$E$35),J26)</f>
        <v>#DIV/0!</v>
      </c>
      <c r="K53" s="216" t="e">
        <f>IF(K$51-Założenia_Predpoklady!$C$4&gt;0,K26*(1+$E$35),K26)</f>
        <v>#DIV/0!</v>
      </c>
      <c r="L53" s="216" t="e">
        <f>IF(L$51-Założenia_Predpoklady!$C$4&gt;0,L26*(1+$E$35),L26)</f>
        <v>#DIV/0!</v>
      </c>
      <c r="M53" s="216" t="e">
        <f>IF(M$51-Założenia_Predpoklady!$C$4&gt;0,M26*(1+$E$35),M26)</f>
        <v>#DIV/0!</v>
      </c>
      <c r="N53" s="216" t="e">
        <f>IF(N$51-Założenia_Predpoklady!$C$4&gt;0,N26*(1+$E$35),N26)</f>
        <v>#DIV/0!</v>
      </c>
      <c r="O53" s="216" t="e">
        <f>IF(O$51-Założenia_Predpoklady!$C$4&gt;0,O26*(1+$E$35),O26)</f>
        <v>#DIV/0!</v>
      </c>
      <c r="P53" s="216" t="e">
        <f>IF(P$51-Założenia_Predpoklady!$C$4&gt;0,P26*(1+$E$35),P26)</f>
        <v>#DIV/0!</v>
      </c>
      <c r="Q53" s="216" t="e">
        <f>IF(Q$51-Założenia_Predpoklady!$C$4&gt;0,Q26*(1+$E$35),Q26)</f>
        <v>#DIV/0!</v>
      </c>
      <c r="R53" s="216" t="e">
        <f>IF(R$51-Założenia_Predpoklady!$C$4&gt;0,R26*(1+$E$35),R26)</f>
        <v>#DIV/0!</v>
      </c>
      <c r="S53" s="216" t="e">
        <f>IF(S$51-Założenia_Predpoklady!$C$4&gt;0,S26*(1+$E$35),S26)</f>
        <v>#DIV/0!</v>
      </c>
      <c r="T53" s="216" t="e">
        <f>IF(T$51-Założenia_Predpoklady!$C$4&gt;0,T26*(1+$E$35),T26)</f>
        <v>#DIV/0!</v>
      </c>
      <c r="U53" s="216" t="e">
        <f>IF(U$51-Założenia_Predpoklady!$C$4&gt;0,U26*(1+$E$35),U26)</f>
        <v>#DIV/0!</v>
      </c>
      <c r="V53" s="216" t="e">
        <f>IF(V$51-Założenia_Predpoklady!$C$4&gt;0,V26*(1+$E$35),V26)</f>
        <v>#DIV/0!</v>
      </c>
      <c r="W53" s="216" t="e">
        <f>IF(W$51-Założenia_Predpoklady!$C$4&gt;0,W26*(1+$E$35),W26)</f>
        <v>#DIV/0!</v>
      </c>
      <c r="X53" s="216" t="e">
        <f>IF(X$51-Założenia_Predpoklady!$C$4&gt;0,X26*(1+$E$35),X26)</f>
        <v>#DIV/0!</v>
      </c>
      <c r="Y53" s="216" t="e">
        <f>IF(Y$51-Założenia_Predpoklady!$C$4&gt;0,Y26*(1+$E$35),Y26)</f>
        <v>#DIV/0!</v>
      </c>
      <c r="Z53" s="216" t="e">
        <f>IF(Z$51-Założenia_Predpoklady!$C$4&gt;0,Z26*(1+$E$35),Z26)</f>
        <v>#DIV/0!</v>
      </c>
      <c r="AA53" s="216" t="e">
        <f>IF(AA$51-Założenia_Predpoklady!$C$4&gt;0,AA26*(1+$E$35),AA26)</f>
        <v>#DIV/0!</v>
      </c>
    </row>
    <row r="54" spans="2:27" ht="30" x14ac:dyDescent="0.25">
      <c r="B54" s="211" t="s">
        <v>138</v>
      </c>
      <c r="C54" s="160" t="e">
        <f>(($C$13)*60/C52)*60</f>
        <v>#DIV/0!</v>
      </c>
      <c r="D54" s="160" t="e">
        <f t="shared" ref="D54:AA54" si="18">(($C$13)*60/D52)*60</f>
        <v>#DIV/0!</v>
      </c>
      <c r="E54" s="160" t="e">
        <f t="shared" si="18"/>
        <v>#DIV/0!</v>
      </c>
      <c r="F54" s="160" t="e">
        <f t="shared" si="18"/>
        <v>#DIV/0!</v>
      </c>
      <c r="G54" s="160" t="e">
        <f t="shared" si="18"/>
        <v>#DIV/0!</v>
      </c>
      <c r="H54" s="160" t="e">
        <f t="shared" si="18"/>
        <v>#DIV/0!</v>
      </c>
      <c r="I54" s="160" t="e">
        <f t="shared" si="18"/>
        <v>#DIV/0!</v>
      </c>
      <c r="J54" s="160" t="e">
        <f t="shared" si="18"/>
        <v>#DIV/0!</v>
      </c>
      <c r="K54" s="160" t="e">
        <f t="shared" si="18"/>
        <v>#DIV/0!</v>
      </c>
      <c r="L54" s="160" t="e">
        <f t="shared" si="18"/>
        <v>#DIV/0!</v>
      </c>
      <c r="M54" s="160" t="e">
        <f t="shared" si="18"/>
        <v>#DIV/0!</v>
      </c>
      <c r="N54" s="160" t="e">
        <f t="shared" si="18"/>
        <v>#DIV/0!</v>
      </c>
      <c r="O54" s="160" t="e">
        <f t="shared" si="18"/>
        <v>#DIV/0!</v>
      </c>
      <c r="P54" s="160" t="e">
        <f t="shared" si="18"/>
        <v>#DIV/0!</v>
      </c>
      <c r="Q54" s="160" t="e">
        <f t="shared" si="18"/>
        <v>#DIV/0!</v>
      </c>
      <c r="R54" s="160" t="e">
        <f t="shared" si="18"/>
        <v>#DIV/0!</v>
      </c>
      <c r="S54" s="160" t="e">
        <f t="shared" si="18"/>
        <v>#DIV/0!</v>
      </c>
      <c r="T54" s="160" t="e">
        <f t="shared" si="18"/>
        <v>#DIV/0!</v>
      </c>
      <c r="U54" s="160" t="e">
        <f t="shared" si="18"/>
        <v>#DIV/0!</v>
      </c>
      <c r="V54" s="160" t="e">
        <f t="shared" si="18"/>
        <v>#DIV/0!</v>
      </c>
      <c r="W54" s="160" t="e">
        <f t="shared" si="18"/>
        <v>#DIV/0!</v>
      </c>
      <c r="X54" s="160" t="e">
        <f t="shared" si="18"/>
        <v>#DIV/0!</v>
      </c>
      <c r="Y54" s="160" t="e">
        <f t="shared" si="18"/>
        <v>#DIV/0!</v>
      </c>
      <c r="Z54" s="160" t="e">
        <f t="shared" si="18"/>
        <v>#DIV/0!</v>
      </c>
      <c r="AA54" s="160" t="e">
        <f t="shared" si="18"/>
        <v>#DIV/0!</v>
      </c>
    </row>
    <row r="55" spans="2:27" ht="30" x14ac:dyDescent="0.25">
      <c r="B55" s="211" t="s">
        <v>139</v>
      </c>
      <c r="C55" s="160" t="e">
        <f>(($C$13)*60/C53)*60</f>
        <v>#DIV/0!</v>
      </c>
      <c r="D55" s="160" t="e">
        <f t="shared" ref="D55:AA55" si="19">(($C$13)*60/D53)*60</f>
        <v>#DIV/0!</v>
      </c>
      <c r="E55" s="160" t="e">
        <f t="shared" si="19"/>
        <v>#DIV/0!</v>
      </c>
      <c r="F55" s="160" t="e">
        <f t="shared" si="19"/>
        <v>#DIV/0!</v>
      </c>
      <c r="G55" s="160" t="e">
        <f t="shared" si="19"/>
        <v>#DIV/0!</v>
      </c>
      <c r="H55" s="160" t="e">
        <f t="shared" si="19"/>
        <v>#DIV/0!</v>
      </c>
      <c r="I55" s="160" t="e">
        <f t="shared" si="19"/>
        <v>#DIV/0!</v>
      </c>
      <c r="J55" s="160" t="e">
        <f t="shared" si="19"/>
        <v>#DIV/0!</v>
      </c>
      <c r="K55" s="160" t="e">
        <f t="shared" si="19"/>
        <v>#DIV/0!</v>
      </c>
      <c r="L55" s="160" t="e">
        <f t="shared" si="19"/>
        <v>#DIV/0!</v>
      </c>
      <c r="M55" s="160" t="e">
        <f t="shared" si="19"/>
        <v>#DIV/0!</v>
      </c>
      <c r="N55" s="160" t="e">
        <f t="shared" si="19"/>
        <v>#DIV/0!</v>
      </c>
      <c r="O55" s="160" t="e">
        <f t="shared" si="19"/>
        <v>#DIV/0!</v>
      </c>
      <c r="P55" s="160" t="e">
        <f t="shared" si="19"/>
        <v>#DIV/0!</v>
      </c>
      <c r="Q55" s="160" t="e">
        <f t="shared" si="19"/>
        <v>#DIV/0!</v>
      </c>
      <c r="R55" s="160" t="e">
        <f t="shared" si="19"/>
        <v>#DIV/0!</v>
      </c>
      <c r="S55" s="160" t="e">
        <f t="shared" si="19"/>
        <v>#DIV/0!</v>
      </c>
      <c r="T55" s="160" t="e">
        <f t="shared" si="19"/>
        <v>#DIV/0!</v>
      </c>
      <c r="U55" s="160" t="e">
        <f t="shared" si="19"/>
        <v>#DIV/0!</v>
      </c>
      <c r="V55" s="160" t="e">
        <f t="shared" si="19"/>
        <v>#DIV/0!</v>
      </c>
      <c r="W55" s="160" t="e">
        <f t="shared" si="19"/>
        <v>#DIV/0!</v>
      </c>
      <c r="X55" s="160" t="e">
        <f t="shared" si="19"/>
        <v>#DIV/0!</v>
      </c>
      <c r="Y55" s="160" t="e">
        <f t="shared" si="19"/>
        <v>#DIV/0!</v>
      </c>
      <c r="Z55" s="160" t="e">
        <f t="shared" si="19"/>
        <v>#DIV/0!</v>
      </c>
      <c r="AA55" s="160" t="e">
        <f t="shared" si="19"/>
        <v>#DIV/0!</v>
      </c>
    </row>
    <row r="56" spans="2:27" x14ac:dyDescent="0.25">
      <c r="B56" s="95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</row>
    <row r="57" spans="2:27" ht="30" x14ac:dyDescent="0.25">
      <c r="B57" s="211" t="s">
        <v>143</v>
      </c>
      <c r="C57" s="160" t="e">
        <f>C27-C54</f>
        <v>#DIV/0!</v>
      </c>
      <c r="D57" s="160" t="e">
        <f t="shared" ref="D57:AA57" si="20">D27-D54</f>
        <v>#DIV/0!</v>
      </c>
      <c r="E57" s="160" t="e">
        <f t="shared" si="20"/>
        <v>#DIV/0!</v>
      </c>
      <c r="F57" s="160" t="e">
        <f t="shared" si="20"/>
        <v>#DIV/0!</v>
      </c>
      <c r="G57" s="160" t="e">
        <f t="shared" si="20"/>
        <v>#DIV/0!</v>
      </c>
      <c r="H57" s="160" t="e">
        <f t="shared" si="20"/>
        <v>#DIV/0!</v>
      </c>
      <c r="I57" s="160" t="e">
        <f t="shared" si="20"/>
        <v>#DIV/0!</v>
      </c>
      <c r="J57" s="160" t="e">
        <f t="shared" si="20"/>
        <v>#DIV/0!</v>
      </c>
      <c r="K57" s="160" t="e">
        <f t="shared" si="20"/>
        <v>#DIV/0!</v>
      </c>
      <c r="L57" s="160" t="e">
        <f t="shared" si="20"/>
        <v>#DIV/0!</v>
      </c>
      <c r="M57" s="160" t="e">
        <f t="shared" si="20"/>
        <v>#DIV/0!</v>
      </c>
      <c r="N57" s="160" t="e">
        <f t="shared" si="20"/>
        <v>#DIV/0!</v>
      </c>
      <c r="O57" s="160" t="e">
        <f t="shared" si="20"/>
        <v>#DIV/0!</v>
      </c>
      <c r="P57" s="160" t="e">
        <f t="shared" si="20"/>
        <v>#DIV/0!</v>
      </c>
      <c r="Q57" s="160" t="e">
        <f t="shared" si="20"/>
        <v>#DIV/0!</v>
      </c>
      <c r="R57" s="160" t="e">
        <f t="shared" si="20"/>
        <v>#DIV/0!</v>
      </c>
      <c r="S57" s="160" t="e">
        <f t="shared" si="20"/>
        <v>#DIV/0!</v>
      </c>
      <c r="T57" s="160" t="e">
        <f t="shared" si="20"/>
        <v>#DIV/0!</v>
      </c>
      <c r="U57" s="160" t="e">
        <f t="shared" si="20"/>
        <v>#DIV/0!</v>
      </c>
      <c r="V57" s="160" t="e">
        <f t="shared" si="20"/>
        <v>#DIV/0!</v>
      </c>
      <c r="W57" s="160" t="e">
        <f t="shared" si="20"/>
        <v>#DIV/0!</v>
      </c>
      <c r="X57" s="160" t="e">
        <f t="shared" si="20"/>
        <v>#DIV/0!</v>
      </c>
      <c r="Y57" s="160" t="e">
        <f t="shared" si="20"/>
        <v>#DIV/0!</v>
      </c>
      <c r="Z57" s="160" t="e">
        <f t="shared" si="20"/>
        <v>#DIV/0!</v>
      </c>
      <c r="AA57" s="160" t="e">
        <f t="shared" si="20"/>
        <v>#DIV/0!</v>
      </c>
    </row>
    <row r="58" spans="2:27" ht="30" x14ac:dyDescent="0.25">
      <c r="B58" s="211" t="s">
        <v>142</v>
      </c>
      <c r="C58" s="160" t="e">
        <f>C28-C55</f>
        <v>#DIV/0!</v>
      </c>
      <c r="D58" s="160" t="e">
        <f t="shared" ref="D58:AA58" si="21">D28-D55</f>
        <v>#DIV/0!</v>
      </c>
      <c r="E58" s="160" t="e">
        <f t="shared" si="21"/>
        <v>#DIV/0!</v>
      </c>
      <c r="F58" s="160" t="e">
        <f t="shared" si="21"/>
        <v>#DIV/0!</v>
      </c>
      <c r="G58" s="160" t="e">
        <f t="shared" si="21"/>
        <v>#DIV/0!</v>
      </c>
      <c r="H58" s="160" t="e">
        <f t="shared" si="21"/>
        <v>#DIV/0!</v>
      </c>
      <c r="I58" s="160" t="e">
        <f t="shared" si="21"/>
        <v>#DIV/0!</v>
      </c>
      <c r="J58" s="160" t="e">
        <f t="shared" si="21"/>
        <v>#DIV/0!</v>
      </c>
      <c r="K58" s="160" t="e">
        <f t="shared" si="21"/>
        <v>#DIV/0!</v>
      </c>
      <c r="L58" s="160" t="e">
        <f t="shared" si="21"/>
        <v>#DIV/0!</v>
      </c>
      <c r="M58" s="160" t="e">
        <f t="shared" si="21"/>
        <v>#DIV/0!</v>
      </c>
      <c r="N58" s="160" t="e">
        <f t="shared" si="21"/>
        <v>#DIV/0!</v>
      </c>
      <c r="O58" s="160" t="e">
        <f t="shared" si="21"/>
        <v>#DIV/0!</v>
      </c>
      <c r="P58" s="160" t="e">
        <f t="shared" si="21"/>
        <v>#DIV/0!</v>
      </c>
      <c r="Q58" s="160" t="e">
        <f t="shared" si="21"/>
        <v>#DIV/0!</v>
      </c>
      <c r="R58" s="160" t="e">
        <f t="shared" si="21"/>
        <v>#DIV/0!</v>
      </c>
      <c r="S58" s="160" t="e">
        <f t="shared" si="21"/>
        <v>#DIV/0!</v>
      </c>
      <c r="T58" s="160" t="e">
        <f t="shared" si="21"/>
        <v>#DIV/0!</v>
      </c>
      <c r="U58" s="160" t="e">
        <f t="shared" si="21"/>
        <v>#DIV/0!</v>
      </c>
      <c r="V58" s="160" t="e">
        <f t="shared" si="21"/>
        <v>#DIV/0!</v>
      </c>
      <c r="W58" s="160" t="e">
        <f t="shared" si="21"/>
        <v>#DIV/0!</v>
      </c>
      <c r="X58" s="160" t="e">
        <f t="shared" si="21"/>
        <v>#DIV/0!</v>
      </c>
      <c r="Y58" s="160" t="e">
        <f t="shared" si="21"/>
        <v>#DIV/0!</v>
      </c>
      <c r="Z58" s="160" t="e">
        <f t="shared" si="21"/>
        <v>#DIV/0!</v>
      </c>
      <c r="AA58" s="160" t="e">
        <f t="shared" si="21"/>
        <v>#DIV/0!</v>
      </c>
    </row>
    <row r="59" spans="2:27" ht="3" customHeight="1" x14ac:dyDescent="0.25">
      <c r="B59" s="457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</row>
    <row r="60" spans="2:27" ht="30" x14ac:dyDescent="0.25">
      <c r="B60" s="260" t="s">
        <v>234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</row>
    <row r="61" spans="2:27" s="460" customFormat="1" ht="20.100000000000001" customHeight="1" x14ac:dyDescent="0.25">
      <c r="B61" s="461" t="s">
        <v>415</v>
      </c>
      <c r="C61" s="552" t="s">
        <v>414</v>
      </c>
      <c r="D61" s="552"/>
      <c r="E61" s="552"/>
      <c r="F61" s="459"/>
      <c r="G61" s="459"/>
      <c r="H61" s="459"/>
      <c r="I61" s="459"/>
      <c r="J61" s="459"/>
      <c r="K61" s="459"/>
      <c r="L61" s="459"/>
      <c r="M61" s="459"/>
      <c r="N61" s="459"/>
      <c r="O61" s="459"/>
      <c r="P61" s="459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</row>
    <row r="62" spans="2:27" x14ac:dyDescent="0.25">
      <c r="B62" s="95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</row>
    <row r="63" spans="2:27" ht="37.5" customHeight="1" x14ac:dyDescent="0.25">
      <c r="B63" s="551" t="s">
        <v>298</v>
      </c>
      <c r="C63" s="551"/>
      <c r="D63" s="551"/>
      <c r="E63" s="551"/>
    </row>
    <row r="64" spans="2:27" ht="60" x14ac:dyDescent="0.25">
      <c r="B64" s="211" t="s">
        <v>299</v>
      </c>
      <c r="C64" s="210" t="s">
        <v>23</v>
      </c>
      <c r="D64" s="210" t="s">
        <v>148</v>
      </c>
      <c r="E64" s="210" t="s">
        <v>149</v>
      </c>
    </row>
    <row r="65" spans="2:27" x14ac:dyDescent="0.25">
      <c r="B65" s="303" t="s">
        <v>131</v>
      </c>
      <c r="C65" s="385"/>
      <c r="D65" s="217">
        <f>ROUND(95%*C65,2)</f>
        <v>0</v>
      </c>
      <c r="E65" s="203">
        <f>ROUND(85%*C65,2)</f>
        <v>0</v>
      </c>
    </row>
    <row r="66" spans="2:27" x14ac:dyDescent="0.25">
      <c r="B66" s="303" t="s">
        <v>132</v>
      </c>
      <c r="C66" s="385"/>
      <c r="D66" s="217">
        <f t="shared" ref="D66:D69" si="22">ROUND(95%*C66,2)</f>
        <v>0</v>
      </c>
      <c r="E66" s="203">
        <f t="shared" ref="E66:E69" si="23">ROUND(85%*C66,2)</f>
        <v>0</v>
      </c>
    </row>
    <row r="67" spans="2:27" x14ac:dyDescent="0.25">
      <c r="B67" s="303" t="s">
        <v>133</v>
      </c>
      <c r="C67" s="385"/>
      <c r="D67" s="217">
        <f t="shared" si="22"/>
        <v>0</v>
      </c>
      <c r="E67" s="203">
        <f t="shared" si="23"/>
        <v>0</v>
      </c>
    </row>
    <row r="68" spans="2:27" x14ac:dyDescent="0.25">
      <c r="B68" s="303" t="s">
        <v>134</v>
      </c>
      <c r="C68" s="385"/>
      <c r="D68" s="217">
        <f t="shared" si="22"/>
        <v>0</v>
      </c>
      <c r="E68" s="203">
        <f t="shared" si="23"/>
        <v>0</v>
      </c>
    </row>
    <row r="69" spans="2:27" x14ac:dyDescent="0.25">
      <c r="B69" s="303" t="s">
        <v>135</v>
      </c>
      <c r="C69" s="385"/>
      <c r="D69" s="217">
        <f t="shared" si="22"/>
        <v>0</v>
      </c>
      <c r="E69" s="203">
        <f t="shared" si="23"/>
        <v>0</v>
      </c>
    </row>
    <row r="70" spans="2:27" ht="30" x14ac:dyDescent="0.25">
      <c r="B70" s="211" t="s">
        <v>144</v>
      </c>
      <c r="C70" s="25">
        <f t="shared" ref="C70:AA70" si="24">C24</f>
        <v>2016</v>
      </c>
      <c r="D70" s="25">
        <f t="shared" si="24"/>
        <v>2017</v>
      </c>
      <c r="E70" s="25">
        <f t="shared" si="24"/>
        <v>2018</v>
      </c>
      <c r="F70" s="25">
        <f t="shared" si="24"/>
        <v>2019</v>
      </c>
      <c r="G70" s="25">
        <f t="shared" si="24"/>
        <v>2020</v>
      </c>
      <c r="H70" s="25">
        <f t="shared" si="24"/>
        <v>2021</v>
      </c>
      <c r="I70" s="25">
        <f t="shared" si="24"/>
        <v>2022</v>
      </c>
      <c r="J70" s="25">
        <f t="shared" si="24"/>
        <v>2023</v>
      </c>
      <c r="K70" s="25">
        <f t="shared" si="24"/>
        <v>2024</v>
      </c>
      <c r="L70" s="25">
        <f t="shared" si="24"/>
        <v>2025</v>
      </c>
      <c r="M70" s="25">
        <f t="shared" si="24"/>
        <v>2026</v>
      </c>
      <c r="N70" s="25">
        <f t="shared" si="24"/>
        <v>2027</v>
      </c>
      <c r="O70" s="25">
        <f t="shared" si="24"/>
        <v>2028</v>
      </c>
      <c r="P70" s="25">
        <f t="shared" si="24"/>
        <v>2029</v>
      </c>
      <c r="Q70" s="25">
        <f t="shared" si="24"/>
        <v>2030</v>
      </c>
      <c r="R70" s="25">
        <f t="shared" si="24"/>
        <v>2031</v>
      </c>
      <c r="S70" s="25">
        <f t="shared" si="24"/>
        <v>2032</v>
      </c>
      <c r="T70" s="25">
        <f t="shared" si="24"/>
        <v>2033</v>
      </c>
      <c r="U70" s="25">
        <f t="shared" si="24"/>
        <v>2034</v>
      </c>
      <c r="V70" s="25">
        <f t="shared" si="24"/>
        <v>2035</v>
      </c>
      <c r="W70" s="25">
        <f t="shared" si="24"/>
        <v>2036</v>
      </c>
      <c r="X70" s="25">
        <f t="shared" si="24"/>
        <v>2037</v>
      </c>
      <c r="Y70" s="25">
        <f t="shared" si="24"/>
        <v>2038</v>
      </c>
      <c r="Z70" s="25">
        <f t="shared" si="24"/>
        <v>2039</v>
      </c>
      <c r="AA70" s="25">
        <f t="shared" si="24"/>
        <v>2040</v>
      </c>
    </row>
    <row r="71" spans="2:27" x14ac:dyDescent="0.25">
      <c r="B71" s="303" t="s">
        <v>131</v>
      </c>
      <c r="C71" s="2">
        <f>(365*C16*$C$13)*IF(Założenia_Predpoklady!$C$24="C",$C65,IF(Założenia_Predpoklady!$C$24="B",$D65,'An. ruchu_An. cestnej premávky'!$E65))</f>
        <v>0</v>
      </c>
      <c r="D71" s="2">
        <f>(365*D16*$C$13)*IF(Założenia_Predpoklady!$C$24="C",$C65,IF(Założenia_Predpoklady!$C$24="B",$D65,'An. ruchu_An. cestnej premávky'!$E65))</f>
        <v>0</v>
      </c>
      <c r="E71" s="2">
        <f>(365*E16*$C$13)*IF(Założenia_Predpoklady!$C$24="C",$C65,IF(Założenia_Predpoklady!$C$24="B",$D65,'An. ruchu_An. cestnej premávky'!$E65))</f>
        <v>0</v>
      </c>
      <c r="F71" s="2">
        <f>(365*F16*$C$13)*IF(Założenia_Predpoklady!$C$24="C",$C65,IF(Założenia_Predpoklady!$C$24="B",$D65,'An. ruchu_An. cestnej premávky'!$E65))</f>
        <v>0</v>
      </c>
      <c r="G71" s="2">
        <f>(365*G16*$C$13)*IF(Założenia_Predpoklady!$C$24="C",$C65,IF(Założenia_Predpoklady!$C$24="B",$D65,'An. ruchu_An. cestnej premávky'!$E65))</f>
        <v>0</v>
      </c>
      <c r="H71" s="2">
        <f>(365*H16*$C$13)*IF(Założenia_Predpoklady!$C$24="C",$C65,IF(Założenia_Predpoklady!$C$24="B",$D65,'An. ruchu_An. cestnej premávky'!$E65))</f>
        <v>0</v>
      </c>
      <c r="I71" s="2">
        <f>(365*I16*$C$13)*IF(Założenia_Predpoklady!$C$24="C",$C65,IF(Założenia_Predpoklady!$C$24="B",$D65,'An. ruchu_An. cestnej premávky'!$E65))</f>
        <v>0</v>
      </c>
      <c r="J71" s="2">
        <f>(365*J16*$C$13)*IF(Założenia_Predpoklady!$C$24="C",$C65,IF(Założenia_Predpoklady!$C$24="B",$D65,'An. ruchu_An. cestnej premávky'!$E65))</f>
        <v>0</v>
      </c>
      <c r="K71" s="2">
        <f>(365*K16*$C$13)*IF(Założenia_Predpoklady!$C$24="C",$C65,IF(Założenia_Predpoklady!$C$24="B",$D65,'An. ruchu_An. cestnej premávky'!$E65))</f>
        <v>0</v>
      </c>
      <c r="L71" s="2">
        <f>(365*L16*$C$13)*IF(Założenia_Predpoklady!$C$24="C",$C65,IF(Założenia_Predpoklady!$C$24="B",$D65,'An. ruchu_An. cestnej premávky'!$E65))</f>
        <v>0</v>
      </c>
      <c r="M71" s="2">
        <f>(365*M16*$C$13)*IF(Założenia_Predpoklady!$C$24="C",$C65,IF(Założenia_Predpoklady!$C$24="B",$D65,'An. ruchu_An. cestnej premávky'!$E65))</f>
        <v>0</v>
      </c>
      <c r="N71" s="2">
        <f>(365*N16*$C$13)*IF(Założenia_Predpoklady!$C$24="C",$C65,IF(Założenia_Predpoklady!$C$24="B",$D65,'An. ruchu_An. cestnej premávky'!$E65))</f>
        <v>0</v>
      </c>
      <c r="O71" s="2">
        <f>(365*O16*$C$13)*IF(Założenia_Predpoklady!$C$24="C",$C65,IF(Założenia_Predpoklady!$C$24="B",$D65,'An. ruchu_An. cestnej premávky'!$E65))</f>
        <v>0</v>
      </c>
      <c r="P71" s="2">
        <f>(365*P16*$C$13)*IF(Założenia_Predpoklady!$C$24="C",$C65,IF(Założenia_Predpoklady!$C$24="B",$D65,'An. ruchu_An. cestnej premávky'!$E65))</f>
        <v>0</v>
      </c>
      <c r="Q71" s="2">
        <f>(365*Q16*$C$13)*IF(Założenia_Predpoklady!$C$24="C",$C65,IF(Założenia_Predpoklady!$C$24="B",$D65,'An. ruchu_An. cestnej premávky'!$E65))</f>
        <v>0</v>
      </c>
      <c r="R71" s="2">
        <f>(365*R16*$C$13)*IF(Założenia_Predpoklady!$C$24="C",$C65,IF(Założenia_Predpoklady!$C$24="B",$D65,'An. ruchu_An. cestnej premávky'!$E65))</f>
        <v>0</v>
      </c>
      <c r="S71" s="2">
        <f>(365*S16*$C$13)*IF(Założenia_Predpoklady!$C$24="C",$C65,IF(Założenia_Predpoklady!$C$24="B",$D65,'An. ruchu_An. cestnej premávky'!$E65))</f>
        <v>0</v>
      </c>
      <c r="T71" s="2">
        <f>(365*T16*$C$13)*IF(Założenia_Predpoklady!$C$24="C",$C65,IF(Założenia_Predpoklady!$C$24="B",$D65,'An. ruchu_An. cestnej premávky'!$E65))</f>
        <v>0</v>
      </c>
      <c r="U71" s="2">
        <f>(365*U16*$C$13)*IF(Założenia_Predpoklady!$C$24="C",$C65,IF(Założenia_Predpoklady!$C$24="B",$D65,'An. ruchu_An. cestnej premávky'!$E65))</f>
        <v>0</v>
      </c>
      <c r="V71" s="2">
        <f>(365*V16*$C$13)*IF(Założenia_Predpoklady!$C$24="C",$C65,IF(Założenia_Predpoklady!$C$24="B",$D65,'An. ruchu_An. cestnej premávky'!$E65))</f>
        <v>0</v>
      </c>
      <c r="W71" s="2">
        <f>(365*W16*$C$13)*IF(Założenia_Predpoklady!$C$24="C",$C65,IF(Założenia_Predpoklady!$C$24="B",$D65,'An. ruchu_An. cestnej premávky'!$E65))</f>
        <v>0</v>
      </c>
      <c r="X71" s="2">
        <f>(365*X16*$C$13)*IF(Założenia_Predpoklady!$C$24="C",$C65,IF(Założenia_Predpoklady!$C$24="B",$D65,'An. ruchu_An. cestnej premávky'!$E65))</f>
        <v>0</v>
      </c>
      <c r="Y71" s="2">
        <f>(365*Y16*$C$13)*IF(Założenia_Predpoklady!$C$24="C",$C65,IF(Założenia_Predpoklady!$C$24="B",$D65,'An. ruchu_An. cestnej premávky'!$E65))</f>
        <v>0</v>
      </c>
      <c r="Z71" s="2">
        <f>(365*Z16*$C$13)*IF(Założenia_Predpoklady!$C$24="C",$C65,IF(Założenia_Predpoklady!$C$24="B",$D65,'An. ruchu_An. cestnej premávky'!$E65))</f>
        <v>0</v>
      </c>
      <c r="AA71" s="2">
        <f>(365*AA16*$C$13)*IF(Założenia_Predpoklady!$C$24="C",$C65,IF(Założenia_Predpoklady!$C$24="B",$D65,'An. ruchu_An. cestnej premávky'!$E65))</f>
        <v>0</v>
      </c>
    </row>
    <row r="72" spans="2:27" x14ac:dyDescent="0.25">
      <c r="B72" s="303" t="s">
        <v>132</v>
      </c>
      <c r="C72" s="2">
        <f>(365*C17*$C$13)*IF(Założenia_Predpoklady!$C$24="C",$C66,IF(Założenia_Predpoklady!$C$24="B",$D66,'An. ruchu_An. cestnej premávky'!$E66))</f>
        <v>0</v>
      </c>
      <c r="D72" s="2">
        <f>(365*D17*$C$13)*IF(Założenia_Predpoklady!$C$24="C",$C66,IF(Założenia_Predpoklady!$C$24="B",$D66,'An. ruchu_An. cestnej premávky'!$E66))</f>
        <v>0</v>
      </c>
      <c r="E72" s="2">
        <f>(365*E17*$C$13)*IF(Założenia_Predpoklady!$C$24="C",$C66,IF(Założenia_Predpoklady!$C$24="B",$D66,'An. ruchu_An. cestnej premávky'!$E66))</f>
        <v>0</v>
      </c>
      <c r="F72" s="2">
        <f>(365*F17*$C$13)*IF(Założenia_Predpoklady!$C$24="C",$C66,IF(Założenia_Predpoklady!$C$24="B",$D66,'An. ruchu_An. cestnej premávky'!$E66))</f>
        <v>0</v>
      </c>
      <c r="G72" s="2">
        <f>(365*G17*$C$13)*IF(Założenia_Predpoklady!$C$24="C",$C66,IF(Założenia_Predpoklady!$C$24="B",$D66,'An. ruchu_An. cestnej premávky'!$E66))</f>
        <v>0</v>
      </c>
      <c r="H72" s="2">
        <f>(365*H17*$C$13)*IF(Założenia_Predpoklady!$C$24="C",$C66,IF(Założenia_Predpoklady!$C$24="B",$D66,'An. ruchu_An. cestnej premávky'!$E66))</f>
        <v>0</v>
      </c>
      <c r="I72" s="2">
        <f>(365*I17*$C$13)*IF(Założenia_Predpoklady!$C$24="C",$C66,IF(Założenia_Predpoklady!$C$24="B",$D66,'An. ruchu_An. cestnej premávky'!$E66))</f>
        <v>0</v>
      </c>
      <c r="J72" s="2">
        <f>(365*J17*$C$13)*IF(Założenia_Predpoklady!$C$24="C",$C66,IF(Założenia_Predpoklady!$C$24="B",$D66,'An. ruchu_An. cestnej premávky'!$E66))</f>
        <v>0</v>
      </c>
      <c r="K72" s="2">
        <f>(365*K17*$C$13)*IF(Założenia_Predpoklady!$C$24="C",$C66,IF(Założenia_Predpoklady!$C$24="B",$D66,'An. ruchu_An. cestnej premávky'!$E66))</f>
        <v>0</v>
      </c>
      <c r="L72" s="2">
        <f>(365*L17*$C$13)*IF(Założenia_Predpoklady!$C$24="C",$C66,IF(Założenia_Predpoklady!$C$24="B",$D66,'An. ruchu_An. cestnej premávky'!$E66))</f>
        <v>0</v>
      </c>
      <c r="M72" s="2">
        <f>(365*M17*$C$13)*IF(Założenia_Predpoklady!$C$24="C",$C66,IF(Założenia_Predpoklady!$C$24="B",$D66,'An. ruchu_An. cestnej premávky'!$E66))</f>
        <v>0</v>
      </c>
      <c r="N72" s="2">
        <f>(365*N17*$C$13)*IF(Założenia_Predpoklady!$C$24="C",$C66,IF(Założenia_Predpoklady!$C$24="B",$D66,'An. ruchu_An. cestnej premávky'!$E66))</f>
        <v>0</v>
      </c>
      <c r="O72" s="2">
        <f>(365*O17*$C$13)*IF(Założenia_Predpoklady!$C$24="C",$C66,IF(Założenia_Predpoklady!$C$24="B",$D66,'An. ruchu_An. cestnej premávky'!$E66))</f>
        <v>0</v>
      </c>
      <c r="P72" s="2">
        <f>(365*P17*$C$13)*IF(Założenia_Predpoklady!$C$24="C",$C66,IF(Założenia_Predpoklady!$C$24="B",$D66,'An. ruchu_An. cestnej premávky'!$E66))</f>
        <v>0</v>
      </c>
      <c r="Q72" s="2">
        <f>(365*Q17*$C$13)*IF(Założenia_Predpoklady!$C$24="C",$C66,IF(Założenia_Predpoklady!$C$24="B",$D66,'An. ruchu_An. cestnej premávky'!$E66))</f>
        <v>0</v>
      </c>
      <c r="R72" s="2">
        <f>(365*R17*$C$13)*IF(Założenia_Predpoklady!$C$24="C",$C66,IF(Założenia_Predpoklady!$C$24="B",$D66,'An. ruchu_An. cestnej premávky'!$E66))</f>
        <v>0</v>
      </c>
      <c r="S72" s="2">
        <f>(365*S17*$C$13)*IF(Założenia_Predpoklady!$C$24="C",$C66,IF(Założenia_Predpoklady!$C$24="B",$D66,'An. ruchu_An. cestnej premávky'!$E66))</f>
        <v>0</v>
      </c>
      <c r="T72" s="2">
        <f>(365*T17*$C$13)*IF(Założenia_Predpoklady!$C$24="C",$C66,IF(Założenia_Predpoklady!$C$24="B",$D66,'An. ruchu_An. cestnej premávky'!$E66))</f>
        <v>0</v>
      </c>
      <c r="U72" s="2">
        <f>(365*U17*$C$13)*IF(Założenia_Predpoklady!$C$24="C",$C66,IF(Założenia_Predpoklady!$C$24="B",$D66,'An. ruchu_An. cestnej premávky'!$E66))</f>
        <v>0</v>
      </c>
      <c r="V72" s="2">
        <f>(365*V17*$C$13)*IF(Założenia_Predpoklady!$C$24="C",$C66,IF(Założenia_Predpoklady!$C$24="B",$D66,'An. ruchu_An. cestnej premávky'!$E66))</f>
        <v>0</v>
      </c>
      <c r="W72" s="2">
        <f>(365*W17*$C$13)*IF(Założenia_Predpoklady!$C$24="C",$C66,IF(Założenia_Predpoklady!$C$24="B",$D66,'An. ruchu_An. cestnej premávky'!$E66))</f>
        <v>0</v>
      </c>
      <c r="X72" s="2">
        <f>(365*X17*$C$13)*IF(Założenia_Predpoklady!$C$24="C",$C66,IF(Założenia_Predpoklady!$C$24="B",$D66,'An. ruchu_An. cestnej premávky'!$E66))</f>
        <v>0</v>
      </c>
      <c r="Y72" s="2">
        <f>(365*Y17*$C$13)*IF(Założenia_Predpoklady!$C$24="C",$C66,IF(Założenia_Predpoklady!$C$24="B",$D66,'An. ruchu_An. cestnej premávky'!$E66))</f>
        <v>0</v>
      </c>
      <c r="Z72" s="2">
        <f>(365*Z17*$C$13)*IF(Założenia_Predpoklady!$C$24="C",$C66,IF(Założenia_Predpoklady!$C$24="B",$D66,'An. ruchu_An. cestnej premávky'!$E66))</f>
        <v>0</v>
      </c>
      <c r="AA72" s="2">
        <f>(365*AA17*$C$13)*IF(Założenia_Predpoklady!$C$24="C",$C66,IF(Założenia_Predpoklady!$C$24="B",$D66,'An. ruchu_An. cestnej premávky'!$E66))</f>
        <v>0</v>
      </c>
    </row>
    <row r="73" spans="2:27" x14ac:dyDescent="0.25">
      <c r="B73" s="303" t="s">
        <v>133</v>
      </c>
      <c r="C73" s="2">
        <f>(365*C18*$C$13)*IF(Założenia_Predpoklady!$C$24="C",$C67,IF(Założenia_Predpoklady!$C$24="B",$D67,'An. ruchu_An. cestnej premávky'!$E67))</f>
        <v>0</v>
      </c>
      <c r="D73" s="2">
        <f>(365*D18*$C$13)*IF(Założenia_Predpoklady!$C$24="C",$C67,IF(Założenia_Predpoklady!$C$24="B",$D67,'An. ruchu_An. cestnej premávky'!$E67))</f>
        <v>0</v>
      </c>
      <c r="E73" s="2">
        <f>(365*E18*$C$13)*IF(Założenia_Predpoklady!$C$24="C",$C67,IF(Założenia_Predpoklady!$C$24="B",$D67,'An. ruchu_An. cestnej premávky'!$E67))</f>
        <v>0</v>
      </c>
      <c r="F73" s="2">
        <f>(365*F18*$C$13)*IF(Założenia_Predpoklady!$C$24="C",$C67,IF(Założenia_Predpoklady!$C$24="B",$D67,'An. ruchu_An. cestnej premávky'!$E67))</f>
        <v>0</v>
      </c>
      <c r="G73" s="2">
        <f>(365*G18*$C$13)*IF(Założenia_Predpoklady!$C$24="C",$C67,IF(Założenia_Predpoklady!$C$24="B",$D67,'An. ruchu_An. cestnej premávky'!$E67))</f>
        <v>0</v>
      </c>
      <c r="H73" s="2">
        <f>(365*H18*$C$13)*IF(Założenia_Predpoklady!$C$24="C",$C67,IF(Założenia_Predpoklady!$C$24="B",$D67,'An. ruchu_An. cestnej premávky'!$E67))</f>
        <v>0</v>
      </c>
      <c r="I73" s="2">
        <f>(365*I18*$C$13)*IF(Założenia_Predpoklady!$C$24="C",$C67,IF(Założenia_Predpoklady!$C$24="B",$D67,'An. ruchu_An. cestnej premávky'!$E67))</f>
        <v>0</v>
      </c>
      <c r="J73" s="2">
        <f>(365*J18*$C$13)*IF(Założenia_Predpoklady!$C$24="C",$C67,IF(Założenia_Predpoklady!$C$24="B",$D67,'An. ruchu_An. cestnej premávky'!$E67))</f>
        <v>0</v>
      </c>
      <c r="K73" s="2">
        <f>(365*K18*$C$13)*IF(Założenia_Predpoklady!$C$24="C",$C67,IF(Założenia_Predpoklady!$C$24="B",$D67,'An. ruchu_An. cestnej premávky'!$E67))</f>
        <v>0</v>
      </c>
      <c r="L73" s="2">
        <f>(365*L18*$C$13)*IF(Założenia_Predpoklady!$C$24="C",$C67,IF(Założenia_Predpoklady!$C$24="B",$D67,'An. ruchu_An. cestnej premávky'!$E67))</f>
        <v>0</v>
      </c>
      <c r="M73" s="2">
        <f>(365*M18*$C$13)*IF(Założenia_Predpoklady!$C$24="C",$C67,IF(Założenia_Predpoklady!$C$24="B",$D67,'An. ruchu_An. cestnej premávky'!$E67))</f>
        <v>0</v>
      </c>
      <c r="N73" s="2">
        <f>(365*N18*$C$13)*IF(Założenia_Predpoklady!$C$24="C",$C67,IF(Założenia_Predpoklady!$C$24="B",$D67,'An. ruchu_An. cestnej premávky'!$E67))</f>
        <v>0</v>
      </c>
      <c r="O73" s="2">
        <f>(365*O18*$C$13)*IF(Założenia_Predpoklady!$C$24="C",$C67,IF(Założenia_Predpoklady!$C$24="B",$D67,'An. ruchu_An. cestnej premávky'!$E67))</f>
        <v>0</v>
      </c>
      <c r="P73" s="2">
        <f>(365*P18*$C$13)*IF(Założenia_Predpoklady!$C$24="C",$C67,IF(Założenia_Predpoklady!$C$24="B",$D67,'An. ruchu_An. cestnej premávky'!$E67))</f>
        <v>0</v>
      </c>
      <c r="Q73" s="2">
        <f>(365*Q18*$C$13)*IF(Założenia_Predpoklady!$C$24="C",$C67,IF(Założenia_Predpoklady!$C$24="B",$D67,'An. ruchu_An. cestnej premávky'!$E67))</f>
        <v>0</v>
      </c>
      <c r="R73" s="2">
        <f>(365*R18*$C$13)*IF(Założenia_Predpoklady!$C$24="C",$C67,IF(Założenia_Predpoklady!$C$24="B",$D67,'An. ruchu_An. cestnej premávky'!$E67))</f>
        <v>0</v>
      </c>
      <c r="S73" s="2">
        <f>(365*S18*$C$13)*IF(Założenia_Predpoklady!$C$24="C",$C67,IF(Założenia_Predpoklady!$C$24="B",$D67,'An. ruchu_An. cestnej premávky'!$E67))</f>
        <v>0</v>
      </c>
      <c r="T73" s="2">
        <f>(365*T18*$C$13)*IF(Założenia_Predpoklady!$C$24="C",$C67,IF(Założenia_Predpoklady!$C$24="B",$D67,'An. ruchu_An. cestnej premávky'!$E67))</f>
        <v>0</v>
      </c>
      <c r="U73" s="2">
        <f>(365*U18*$C$13)*IF(Założenia_Predpoklady!$C$24="C",$C67,IF(Założenia_Predpoklady!$C$24="B",$D67,'An. ruchu_An. cestnej premávky'!$E67))</f>
        <v>0</v>
      </c>
      <c r="V73" s="2">
        <f>(365*V18*$C$13)*IF(Założenia_Predpoklady!$C$24="C",$C67,IF(Założenia_Predpoklady!$C$24="B",$D67,'An. ruchu_An. cestnej premávky'!$E67))</f>
        <v>0</v>
      </c>
      <c r="W73" s="2">
        <f>(365*W18*$C$13)*IF(Założenia_Predpoklady!$C$24="C",$C67,IF(Założenia_Predpoklady!$C$24="B",$D67,'An. ruchu_An. cestnej premávky'!$E67))</f>
        <v>0</v>
      </c>
      <c r="X73" s="2">
        <f>(365*X18*$C$13)*IF(Założenia_Predpoklady!$C$24="C",$C67,IF(Założenia_Predpoklady!$C$24="B",$D67,'An. ruchu_An. cestnej premávky'!$E67))</f>
        <v>0</v>
      </c>
      <c r="Y73" s="2">
        <f>(365*Y18*$C$13)*IF(Założenia_Predpoklady!$C$24="C",$C67,IF(Założenia_Predpoklady!$C$24="B",$D67,'An. ruchu_An. cestnej premávky'!$E67))</f>
        <v>0</v>
      </c>
      <c r="Z73" s="2">
        <f>(365*Z18*$C$13)*IF(Założenia_Predpoklady!$C$24="C",$C67,IF(Założenia_Predpoklady!$C$24="B",$D67,'An. ruchu_An. cestnej premávky'!$E67))</f>
        <v>0</v>
      </c>
      <c r="AA73" s="2">
        <f>(365*AA18*$C$13)*IF(Założenia_Predpoklady!$C$24="C",$C67,IF(Założenia_Predpoklady!$C$24="B",$D67,'An. ruchu_An. cestnej premávky'!$E67))</f>
        <v>0</v>
      </c>
    </row>
    <row r="74" spans="2:27" x14ac:dyDescent="0.25">
      <c r="B74" s="303" t="s">
        <v>134</v>
      </c>
      <c r="C74" s="2">
        <f>(365*C19*$C$13)*IF(Założenia_Predpoklady!$C$24="C",$C68,IF(Założenia_Predpoklady!$C$24="B",$D68,'An. ruchu_An. cestnej premávky'!$E68))</f>
        <v>0</v>
      </c>
      <c r="D74" s="2">
        <f>(365*D19*$C$13)*IF(Założenia_Predpoklady!$C$24="C",$C68,IF(Założenia_Predpoklady!$C$24="B",$D68,'An. ruchu_An. cestnej premávky'!$E68))</f>
        <v>0</v>
      </c>
      <c r="E74" s="2">
        <f>(365*E19*$C$13)*IF(Założenia_Predpoklady!$C$24="C",$C68,IF(Założenia_Predpoklady!$C$24="B",$D68,'An. ruchu_An. cestnej premávky'!$E68))</f>
        <v>0</v>
      </c>
      <c r="F74" s="2">
        <f>(365*F19*$C$13)*IF(Założenia_Predpoklady!$C$24="C",$C68,IF(Założenia_Predpoklady!$C$24="B",$D68,'An. ruchu_An. cestnej premávky'!$E68))</f>
        <v>0</v>
      </c>
      <c r="G74" s="2">
        <f>(365*G19*$C$13)*IF(Założenia_Predpoklady!$C$24="C",$C68,IF(Założenia_Predpoklady!$C$24="B",$D68,'An. ruchu_An. cestnej premávky'!$E68))</f>
        <v>0</v>
      </c>
      <c r="H74" s="2">
        <f>(365*H19*$C$13)*IF(Założenia_Predpoklady!$C$24="C",$C68,IF(Założenia_Predpoklady!$C$24="B",$D68,'An. ruchu_An. cestnej premávky'!$E68))</f>
        <v>0</v>
      </c>
      <c r="I74" s="2">
        <f>(365*I19*$C$13)*IF(Założenia_Predpoklady!$C$24="C",$C68,IF(Założenia_Predpoklady!$C$24="B",$D68,'An. ruchu_An. cestnej premávky'!$E68))</f>
        <v>0</v>
      </c>
      <c r="J74" s="2">
        <f>(365*J19*$C$13)*IF(Założenia_Predpoklady!$C$24="C",$C68,IF(Założenia_Predpoklady!$C$24="B",$D68,'An. ruchu_An. cestnej premávky'!$E68))</f>
        <v>0</v>
      </c>
      <c r="K74" s="2">
        <f>(365*K19*$C$13)*IF(Założenia_Predpoklady!$C$24="C",$C68,IF(Założenia_Predpoklady!$C$24="B",$D68,'An. ruchu_An. cestnej premávky'!$E68))</f>
        <v>0</v>
      </c>
      <c r="L74" s="2">
        <f>(365*L19*$C$13)*IF(Założenia_Predpoklady!$C$24="C",$C68,IF(Założenia_Predpoklady!$C$24="B",$D68,'An. ruchu_An. cestnej premávky'!$E68))</f>
        <v>0</v>
      </c>
      <c r="M74" s="2">
        <f>(365*M19*$C$13)*IF(Założenia_Predpoklady!$C$24="C",$C68,IF(Założenia_Predpoklady!$C$24="B",$D68,'An. ruchu_An. cestnej premávky'!$E68))</f>
        <v>0</v>
      </c>
      <c r="N74" s="2">
        <f>(365*N19*$C$13)*IF(Założenia_Predpoklady!$C$24="C",$C68,IF(Założenia_Predpoklady!$C$24="B",$D68,'An. ruchu_An. cestnej premávky'!$E68))</f>
        <v>0</v>
      </c>
      <c r="O74" s="2">
        <f>(365*O19*$C$13)*IF(Założenia_Predpoklady!$C$24="C",$C68,IF(Założenia_Predpoklady!$C$24="B",$D68,'An. ruchu_An. cestnej premávky'!$E68))</f>
        <v>0</v>
      </c>
      <c r="P74" s="2">
        <f>(365*P19*$C$13)*IF(Założenia_Predpoklady!$C$24="C",$C68,IF(Założenia_Predpoklady!$C$24="B",$D68,'An. ruchu_An. cestnej premávky'!$E68))</f>
        <v>0</v>
      </c>
      <c r="Q74" s="2">
        <f>(365*Q19*$C$13)*IF(Założenia_Predpoklady!$C$24="C",$C68,IF(Założenia_Predpoklady!$C$24="B",$D68,'An. ruchu_An. cestnej premávky'!$E68))</f>
        <v>0</v>
      </c>
      <c r="R74" s="2">
        <f>(365*R19*$C$13)*IF(Założenia_Predpoklady!$C$24="C",$C68,IF(Założenia_Predpoklady!$C$24="B",$D68,'An. ruchu_An. cestnej premávky'!$E68))</f>
        <v>0</v>
      </c>
      <c r="S74" s="2">
        <f>(365*S19*$C$13)*IF(Założenia_Predpoklady!$C$24="C",$C68,IF(Założenia_Predpoklady!$C$24="B",$D68,'An. ruchu_An. cestnej premávky'!$E68))</f>
        <v>0</v>
      </c>
      <c r="T74" s="2">
        <f>(365*T19*$C$13)*IF(Założenia_Predpoklady!$C$24="C",$C68,IF(Założenia_Predpoklady!$C$24="B",$D68,'An. ruchu_An. cestnej premávky'!$E68))</f>
        <v>0</v>
      </c>
      <c r="U74" s="2">
        <f>(365*U19*$C$13)*IF(Założenia_Predpoklady!$C$24="C",$C68,IF(Założenia_Predpoklady!$C$24="B",$D68,'An. ruchu_An. cestnej premávky'!$E68))</f>
        <v>0</v>
      </c>
      <c r="V74" s="2">
        <f>(365*V19*$C$13)*IF(Założenia_Predpoklady!$C$24="C",$C68,IF(Założenia_Predpoklady!$C$24="B",$D68,'An. ruchu_An. cestnej premávky'!$E68))</f>
        <v>0</v>
      </c>
      <c r="W74" s="2">
        <f>(365*W19*$C$13)*IF(Założenia_Predpoklady!$C$24="C",$C68,IF(Założenia_Predpoklady!$C$24="B",$D68,'An. ruchu_An. cestnej premávky'!$E68))</f>
        <v>0</v>
      </c>
      <c r="X74" s="2">
        <f>(365*X19*$C$13)*IF(Założenia_Predpoklady!$C$24="C",$C68,IF(Założenia_Predpoklady!$C$24="B",$D68,'An. ruchu_An. cestnej premávky'!$E68))</f>
        <v>0</v>
      </c>
      <c r="Y74" s="2">
        <f>(365*Y19*$C$13)*IF(Założenia_Predpoklady!$C$24="C",$C68,IF(Założenia_Predpoklady!$C$24="B",$D68,'An. ruchu_An. cestnej premávky'!$E68))</f>
        <v>0</v>
      </c>
      <c r="Z74" s="2">
        <f>(365*Z19*$C$13)*IF(Założenia_Predpoklady!$C$24="C",$C68,IF(Założenia_Predpoklady!$C$24="B",$D68,'An. ruchu_An. cestnej premávky'!$E68))</f>
        <v>0</v>
      </c>
      <c r="AA74" s="2">
        <f>(365*AA19*$C$13)*IF(Założenia_Predpoklady!$C$24="C",$C68,IF(Założenia_Predpoklady!$C$24="B",$D68,'An. ruchu_An. cestnej premávky'!$E68))</f>
        <v>0</v>
      </c>
    </row>
    <row r="75" spans="2:27" x14ac:dyDescent="0.25">
      <c r="B75" s="303" t="s">
        <v>135</v>
      </c>
      <c r="C75" s="2">
        <f>(365*C20*$C$13)*IF(Założenia_Predpoklady!$C$24="C",$C69,IF(Założenia_Predpoklady!$C$24="B",$D69,'An. ruchu_An. cestnej premávky'!$E69))</f>
        <v>0</v>
      </c>
      <c r="D75" s="2">
        <f>(365*D20*$C$13)*IF(Założenia_Predpoklady!$C$24="C",$C69,IF(Założenia_Predpoklady!$C$24="B",$D69,'An. ruchu_An. cestnej premávky'!$E69))</f>
        <v>0</v>
      </c>
      <c r="E75" s="2">
        <f>(365*E20*$C$13)*IF(Założenia_Predpoklady!$C$24="C",$C69,IF(Założenia_Predpoklady!$C$24="B",$D69,'An. ruchu_An. cestnej premávky'!$E69))</f>
        <v>0</v>
      </c>
      <c r="F75" s="2">
        <f>(365*F20*$C$13)*IF(Założenia_Predpoklady!$C$24="C",$C69,IF(Założenia_Predpoklady!$C$24="B",$D69,'An. ruchu_An. cestnej premávky'!$E69))</f>
        <v>0</v>
      </c>
      <c r="G75" s="2">
        <f>(365*G20*$C$13)*IF(Założenia_Predpoklady!$C$24="C",$C69,IF(Założenia_Predpoklady!$C$24="B",$D69,'An. ruchu_An. cestnej premávky'!$E69))</f>
        <v>0</v>
      </c>
      <c r="H75" s="2">
        <f>(365*H20*$C$13)*IF(Założenia_Predpoklady!$C$24="C",$C69,IF(Założenia_Predpoklady!$C$24="B",$D69,'An. ruchu_An. cestnej premávky'!$E69))</f>
        <v>0</v>
      </c>
      <c r="I75" s="2">
        <f>(365*I20*$C$13)*IF(Założenia_Predpoklady!$C$24="C",$C69,IF(Założenia_Predpoklady!$C$24="B",$D69,'An. ruchu_An. cestnej premávky'!$E69))</f>
        <v>0</v>
      </c>
      <c r="J75" s="2">
        <f>(365*J20*$C$13)*IF(Założenia_Predpoklady!$C$24="C",$C69,IF(Założenia_Predpoklady!$C$24="B",$D69,'An. ruchu_An. cestnej premávky'!$E69))</f>
        <v>0</v>
      </c>
      <c r="K75" s="2">
        <f>(365*K20*$C$13)*IF(Założenia_Predpoklady!$C$24="C",$C69,IF(Założenia_Predpoklady!$C$24="B",$D69,'An. ruchu_An. cestnej premávky'!$E69))</f>
        <v>0</v>
      </c>
      <c r="L75" s="2">
        <f>(365*L20*$C$13)*IF(Założenia_Predpoklady!$C$24="C",$C69,IF(Założenia_Predpoklady!$C$24="B",$D69,'An. ruchu_An. cestnej premávky'!$E69))</f>
        <v>0</v>
      </c>
      <c r="M75" s="2">
        <f>(365*M20*$C$13)*IF(Założenia_Predpoklady!$C$24="C",$C69,IF(Założenia_Predpoklady!$C$24="B",$D69,'An. ruchu_An. cestnej premávky'!$E69))</f>
        <v>0</v>
      </c>
      <c r="N75" s="2">
        <f>(365*N20*$C$13)*IF(Założenia_Predpoklady!$C$24="C",$C69,IF(Założenia_Predpoklady!$C$24="B",$D69,'An. ruchu_An. cestnej premávky'!$E69))</f>
        <v>0</v>
      </c>
      <c r="O75" s="2">
        <f>(365*O20*$C$13)*IF(Założenia_Predpoklady!$C$24="C",$C69,IF(Założenia_Predpoklady!$C$24="B",$D69,'An. ruchu_An. cestnej premávky'!$E69))</f>
        <v>0</v>
      </c>
      <c r="P75" s="2">
        <f>(365*P20*$C$13)*IF(Założenia_Predpoklady!$C$24="C",$C69,IF(Założenia_Predpoklady!$C$24="B",$D69,'An. ruchu_An. cestnej premávky'!$E69))</f>
        <v>0</v>
      </c>
      <c r="Q75" s="2">
        <f>(365*Q20*$C$13)*IF(Założenia_Predpoklady!$C$24="C",$C69,IF(Założenia_Predpoklady!$C$24="B",$D69,'An. ruchu_An. cestnej premávky'!$E69))</f>
        <v>0</v>
      </c>
      <c r="R75" s="2">
        <f>(365*R20*$C$13)*IF(Założenia_Predpoklady!$C$24="C",$C69,IF(Założenia_Predpoklady!$C$24="B",$D69,'An. ruchu_An. cestnej premávky'!$E69))</f>
        <v>0</v>
      </c>
      <c r="S75" s="2">
        <f>(365*S20*$C$13)*IF(Założenia_Predpoklady!$C$24="C",$C69,IF(Założenia_Predpoklady!$C$24="B",$D69,'An. ruchu_An. cestnej premávky'!$E69))</f>
        <v>0</v>
      </c>
      <c r="T75" s="2">
        <f>(365*T20*$C$13)*IF(Założenia_Predpoklady!$C$24="C",$C69,IF(Założenia_Predpoklady!$C$24="B",$D69,'An. ruchu_An. cestnej premávky'!$E69))</f>
        <v>0</v>
      </c>
      <c r="U75" s="2">
        <f>(365*U20*$C$13)*IF(Założenia_Predpoklady!$C$24="C",$C69,IF(Założenia_Predpoklady!$C$24="B",$D69,'An. ruchu_An. cestnej premávky'!$E69))</f>
        <v>0</v>
      </c>
      <c r="V75" s="2">
        <f>(365*V20*$C$13)*IF(Założenia_Predpoklady!$C$24="C",$C69,IF(Założenia_Predpoklady!$C$24="B",$D69,'An. ruchu_An. cestnej premávky'!$E69))</f>
        <v>0</v>
      </c>
      <c r="W75" s="2">
        <f>(365*W20*$C$13)*IF(Założenia_Predpoklady!$C$24="C",$C69,IF(Założenia_Predpoklady!$C$24="B",$D69,'An. ruchu_An. cestnej premávky'!$E69))</f>
        <v>0</v>
      </c>
      <c r="X75" s="2">
        <f>(365*X20*$C$13)*IF(Założenia_Predpoklady!$C$24="C",$C69,IF(Założenia_Predpoklady!$C$24="B",$D69,'An. ruchu_An. cestnej premávky'!$E69))</f>
        <v>0</v>
      </c>
      <c r="Y75" s="2">
        <f>(365*Y20*$C$13)*IF(Założenia_Predpoklady!$C$24="C",$C69,IF(Założenia_Predpoklady!$C$24="B",$D69,'An. ruchu_An. cestnej premávky'!$E69))</f>
        <v>0</v>
      </c>
      <c r="Z75" s="2">
        <f>(365*Z20*$C$13)*IF(Założenia_Predpoklady!$C$24="C",$C69,IF(Założenia_Predpoklady!$C$24="B",$D69,'An. ruchu_An. cestnej premávky'!$E69))</f>
        <v>0</v>
      </c>
      <c r="AA75" s="2">
        <f>(365*AA20*$C$13)*IF(Założenia_Predpoklady!$C$24="C",$C69,IF(Założenia_Predpoklady!$C$24="B",$D69,'An. ruchu_An. cestnej premávky'!$E69))</f>
        <v>0</v>
      </c>
    </row>
    <row r="76" spans="2:27" ht="36" x14ac:dyDescent="0.35">
      <c r="B76" s="304" t="s">
        <v>145</v>
      </c>
      <c r="C76" s="29">
        <f>SUM(C71:C75)</f>
        <v>0</v>
      </c>
      <c r="D76" s="29">
        <f t="shared" ref="D76:AA76" si="25">SUM(D71:D75)</f>
        <v>0</v>
      </c>
      <c r="E76" s="29">
        <f t="shared" si="25"/>
        <v>0</v>
      </c>
      <c r="F76" s="29">
        <f t="shared" si="25"/>
        <v>0</v>
      </c>
      <c r="G76" s="29">
        <f t="shared" si="25"/>
        <v>0</v>
      </c>
      <c r="H76" s="29">
        <f t="shared" si="25"/>
        <v>0</v>
      </c>
      <c r="I76" s="29">
        <f t="shared" si="25"/>
        <v>0</v>
      </c>
      <c r="J76" s="29">
        <f t="shared" si="25"/>
        <v>0</v>
      </c>
      <c r="K76" s="29">
        <f t="shared" si="25"/>
        <v>0</v>
      </c>
      <c r="L76" s="29">
        <f t="shared" si="25"/>
        <v>0</v>
      </c>
      <c r="M76" s="29">
        <f t="shared" si="25"/>
        <v>0</v>
      </c>
      <c r="N76" s="29">
        <f t="shared" si="25"/>
        <v>0</v>
      </c>
      <c r="O76" s="29">
        <f t="shared" si="25"/>
        <v>0</v>
      </c>
      <c r="P76" s="29">
        <f t="shared" si="25"/>
        <v>0</v>
      </c>
      <c r="Q76" s="29">
        <f t="shared" si="25"/>
        <v>0</v>
      </c>
      <c r="R76" s="29">
        <f t="shared" si="25"/>
        <v>0</v>
      </c>
      <c r="S76" s="29">
        <f t="shared" si="25"/>
        <v>0</v>
      </c>
      <c r="T76" s="29">
        <f t="shared" si="25"/>
        <v>0</v>
      </c>
      <c r="U76" s="29">
        <f t="shared" si="25"/>
        <v>0</v>
      </c>
      <c r="V76" s="29">
        <f t="shared" si="25"/>
        <v>0</v>
      </c>
      <c r="W76" s="29">
        <f t="shared" si="25"/>
        <v>0</v>
      </c>
      <c r="X76" s="29">
        <f t="shared" si="25"/>
        <v>0</v>
      </c>
      <c r="Y76" s="29">
        <f t="shared" si="25"/>
        <v>0</v>
      </c>
      <c r="Z76" s="29">
        <f t="shared" si="25"/>
        <v>0</v>
      </c>
      <c r="AA76" s="29">
        <f t="shared" si="25"/>
        <v>0</v>
      </c>
    </row>
    <row r="78" spans="2:27" ht="33" customHeight="1" x14ac:dyDescent="0.25">
      <c r="B78" s="551" t="s">
        <v>300</v>
      </c>
      <c r="C78" s="551"/>
      <c r="D78" s="551"/>
      <c r="E78" s="310"/>
    </row>
    <row r="79" spans="2:27" ht="30" x14ac:dyDescent="0.25">
      <c r="B79" s="211" t="s">
        <v>144</v>
      </c>
      <c r="C79" s="25">
        <f>C70</f>
        <v>2016</v>
      </c>
      <c r="D79" s="25">
        <f t="shared" ref="D79:AA79" si="26">D70</f>
        <v>2017</v>
      </c>
      <c r="E79" s="25">
        <f t="shared" si="26"/>
        <v>2018</v>
      </c>
      <c r="F79" s="25">
        <f t="shared" si="26"/>
        <v>2019</v>
      </c>
      <c r="G79" s="25">
        <f t="shared" si="26"/>
        <v>2020</v>
      </c>
      <c r="H79" s="25">
        <f t="shared" si="26"/>
        <v>2021</v>
      </c>
      <c r="I79" s="25">
        <f t="shared" si="26"/>
        <v>2022</v>
      </c>
      <c r="J79" s="25">
        <f t="shared" si="26"/>
        <v>2023</v>
      </c>
      <c r="K79" s="25">
        <f t="shared" si="26"/>
        <v>2024</v>
      </c>
      <c r="L79" s="25">
        <f t="shared" si="26"/>
        <v>2025</v>
      </c>
      <c r="M79" s="25">
        <f t="shared" si="26"/>
        <v>2026</v>
      </c>
      <c r="N79" s="25">
        <f t="shared" si="26"/>
        <v>2027</v>
      </c>
      <c r="O79" s="25">
        <f t="shared" si="26"/>
        <v>2028</v>
      </c>
      <c r="P79" s="25">
        <f t="shared" si="26"/>
        <v>2029</v>
      </c>
      <c r="Q79" s="25">
        <f t="shared" si="26"/>
        <v>2030</v>
      </c>
      <c r="R79" s="25">
        <f t="shared" si="26"/>
        <v>2031</v>
      </c>
      <c r="S79" s="25">
        <f t="shared" si="26"/>
        <v>2032</v>
      </c>
      <c r="T79" s="25">
        <f t="shared" si="26"/>
        <v>2033</v>
      </c>
      <c r="U79" s="25">
        <f t="shared" si="26"/>
        <v>2034</v>
      </c>
      <c r="V79" s="25">
        <f t="shared" si="26"/>
        <v>2035</v>
      </c>
      <c r="W79" s="25">
        <f t="shared" si="26"/>
        <v>2036</v>
      </c>
      <c r="X79" s="25">
        <f t="shared" si="26"/>
        <v>2037</v>
      </c>
      <c r="Y79" s="25">
        <f t="shared" si="26"/>
        <v>2038</v>
      </c>
      <c r="Z79" s="25">
        <f t="shared" si="26"/>
        <v>2039</v>
      </c>
      <c r="AA79" s="25">
        <f t="shared" si="26"/>
        <v>2040</v>
      </c>
    </row>
    <row r="80" spans="2:27" x14ac:dyDescent="0.25">
      <c r="B80" s="303" t="s">
        <v>131</v>
      </c>
      <c r="C80" s="2">
        <f>IF(C$41&lt;Założenia_Predpoklady!$C$4,C71,(365*C42*$C$39)*IF(Założenia_Predpoklady!$C$30="C",$C65,IF(Założenia_Predpoklady!$C$30="B",$D65,$E65)))</f>
        <v>0</v>
      </c>
      <c r="D80" s="2">
        <f>IF(D$41&lt;Założenia_Predpoklady!$C$4,D71,(365*D42*$C$39)*IF(Założenia_Predpoklady!$C$30="C",$C65,IF(Założenia_Predpoklady!$C$30="B",$D65,$E65)))</f>
        <v>0</v>
      </c>
      <c r="E80" s="2">
        <f>IF(E$41&lt;Założenia_Predpoklady!$C$4,E71,(365*E42*$C$39)*IF(Założenia_Predpoklady!$C$30="C",$C65,IF(Założenia_Predpoklady!$C$30="B",$D65,$E65)))</f>
        <v>0</v>
      </c>
      <c r="F80" s="2">
        <f>IF(F$41&lt;Założenia_Predpoklady!$C$4,F71,(365*F42*$C$39)*IF(Założenia_Predpoklady!$C$30="C",$C65,IF(Założenia_Predpoklady!$C$30="B",$D65,$E65)))</f>
        <v>0</v>
      </c>
      <c r="G80" s="2">
        <f>IF(G$41&lt;Założenia_Predpoklady!$C$4,G71,(365*G42*$C$39)*IF(Założenia_Predpoklady!$C$30="C",$C65,IF(Założenia_Predpoklady!$C$30="B",$D65,$E65)))</f>
        <v>0</v>
      </c>
      <c r="H80" s="2">
        <f>IF(H$41&lt;Założenia_Predpoklady!$C$4,H71,(365*H42*$C$39)*IF(Założenia_Predpoklady!$C$30="C",$C65,IF(Założenia_Predpoklady!$C$30="B",$D65,$E65)))</f>
        <v>0</v>
      </c>
      <c r="I80" s="2">
        <f>IF(I$41&lt;Założenia_Predpoklady!$C$4,I71,(365*I42*$C$39)*IF(Założenia_Predpoklady!$C$30="C",$C65,IF(Założenia_Predpoklady!$C$30="B",$D65,$E65)))</f>
        <v>0</v>
      </c>
      <c r="J80" s="2">
        <f>IF(J$41&lt;Założenia_Predpoklady!$C$4,J71,(365*J42*$C$39)*IF(Założenia_Predpoklady!$C$30="C",$C65,IF(Założenia_Predpoklady!$C$30="B",$D65,$E65)))</f>
        <v>0</v>
      </c>
      <c r="K80" s="2">
        <f>IF(K$41&lt;Założenia_Predpoklady!$C$4,K71,(365*K42*$C$39)*IF(Założenia_Predpoklady!$C$30="C",$C65,IF(Założenia_Predpoklady!$C$30="B",$D65,$E65)))</f>
        <v>0</v>
      </c>
      <c r="L80" s="2">
        <f>IF(L$41&lt;Założenia_Predpoklady!$C$4,L71,(365*L42*$C$39)*IF(Założenia_Predpoklady!$C$30="C",$C65,IF(Założenia_Predpoklady!$C$30="B",$D65,$E65)))</f>
        <v>0</v>
      </c>
      <c r="M80" s="2">
        <f>IF(M$41&lt;Założenia_Predpoklady!$C$4,M71,(365*M42*$C$39)*IF(Założenia_Predpoklady!$C$30="C",$C65,IF(Założenia_Predpoklady!$C$30="B",$D65,$E65)))</f>
        <v>0</v>
      </c>
      <c r="N80" s="2">
        <f>IF(N$41&lt;Założenia_Predpoklady!$C$4,N71,(365*N42*$C$39)*IF(Założenia_Predpoklady!$C$30="C",$C65,IF(Założenia_Predpoklady!$C$30="B",$D65,$E65)))</f>
        <v>0</v>
      </c>
      <c r="O80" s="2">
        <f>IF(O$41&lt;Założenia_Predpoklady!$C$4,O71,(365*O42*$C$39)*IF(Założenia_Predpoklady!$C$30="C",$C65,IF(Założenia_Predpoklady!$C$30="B",$D65,$E65)))</f>
        <v>0</v>
      </c>
      <c r="P80" s="2">
        <f>IF(P$41&lt;Założenia_Predpoklady!$C$4,P71,(365*P42*$C$39)*IF(Założenia_Predpoklady!$C$30="C",$C65,IF(Założenia_Predpoklady!$C$30="B",$D65,$E65)))</f>
        <v>0</v>
      </c>
      <c r="Q80" s="2">
        <f>IF(Q$41&lt;Założenia_Predpoklady!$C$4,Q71,(365*Q42*$C$39)*IF(Założenia_Predpoklady!$C$30="C",$C65,IF(Założenia_Predpoklady!$C$30="B",$D65,$E65)))</f>
        <v>0</v>
      </c>
      <c r="R80" s="2">
        <f>IF(R$41&lt;Założenia_Predpoklady!$C$4,R71,(365*R42*$C$39)*IF(Założenia_Predpoklady!$C$30="C",$C65,IF(Założenia_Predpoklady!$C$30="B",$D65,$E65)))</f>
        <v>0</v>
      </c>
      <c r="S80" s="2">
        <f>IF(S$41&lt;Założenia_Predpoklady!$C$4,S71,(365*S42*$C$39)*IF(Założenia_Predpoklady!$C$30="C",$C65,IF(Założenia_Predpoklady!$C$30="B",$D65,$E65)))</f>
        <v>0</v>
      </c>
      <c r="T80" s="2">
        <f>IF(T$41&lt;Założenia_Predpoklady!$C$4,T71,(365*T42*$C$39)*IF(Założenia_Predpoklady!$C$30="C",$C65,IF(Założenia_Predpoklady!$C$30="B",$D65,$E65)))</f>
        <v>0</v>
      </c>
      <c r="U80" s="2">
        <f>IF(U$41&lt;Założenia_Predpoklady!$C$4,U71,(365*U42*$C$39)*IF(Założenia_Predpoklady!$C$30="C",$C65,IF(Założenia_Predpoklady!$C$30="B",$D65,$E65)))</f>
        <v>0</v>
      </c>
      <c r="V80" s="2">
        <f>IF(V$41&lt;Założenia_Predpoklady!$C$4,V71,(365*V42*$C$39)*IF(Założenia_Predpoklady!$C$30="C",$C65,IF(Założenia_Predpoklady!$C$30="B",$D65,$E65)))</f>
        <v>0</v>
      </c>
      <c r="W80" s="2">
        <f>IF(W$41&lt;Założenia_Predpoklady!$C$4,W71,(365*W42*$C$39)*IF(Założenia_Predpoklady!$C$30="C",$C65,IF(Założenia_Predpoklady!$C$30="B",$D65,$E65)))</f>
        <v>0</v>
      </c>
      <c r="X80" s="2">
        <f>IF(X$41&lt;Założenia_Predpoklady!$C$4,X71,(365*X42*$C$39)*IF(Założenia_Predpoklady!$C$30="C",$C65,IF(Założenia_Predpoklady!$C$30="B",$D65,$E65)))</f>
        <v>0</v>
      </c>
      <c r="Y80" s="2">
        <f>IF(Y$41&lt;Założenia_Predpoklady!$C$4,Y71,(365*Y42*$C$39)*IF(Założenia_Predpoklady!$C$30="C",$C65,IF(Założenia_Predpoklady!$C$30="B",$D65,$E65)))</f>
        <v>0</v>
      </c>
      <c r="Z80" s="2">
        <f>IF(Z$41&lt;Założenia_Predpoklady!$C$4,Z71,(365*Z42*$C$39)*IF(Założenia_Predpoklady!$C$30="C",$C65,IF(Założenia_Predpoklady!$C$30="B",$D65,$E65)))</f>
        <v>0</v>
      </c>
      <c r="AA80" s="2">
        <f>IF(AA$41&lt;Założenia_Predpoklady!$C$4,AA71,(365*AA42*$C$39)*IF(Założenia_Predpoklady!$C$30="C",$C65,IF(Założenia_Predpoklady!$C$30="B",$D65,$E65)))</f>
        <v>0</v>
      </c>
    </row>
    <row r="81" spans="2:27" x14ac:dyDescent="0.25">
      <c r="B81" s="303" t="s">
        <v>132</v>
      </c>
      <c r="C81" s="2">
        <f>IF(C$41&lt;Założenia_Predpoklady!$C$4,C72,(365*C43*$C$39)*IF(Założenia_Predpoklady!$C$30="C",$C66,IF(Założenia_Predpoklady!$C$30="B",$D66,$E66)))</f>
        <v>0</v>
      </c>
      <c r="D81" s="2">
        <f>IF(D$41&lt;Założenia_Predpoklady!$C$4,D72,(365*D43*$C$39)*IF(Założenia_Predpoklady!$C$30="C",$C66,IF(Założenia_Predpoklady!$C$30="B",$D66,$E66)))</f>
        <v>0</v>
      </c>
      <c r="E81" s="2">
        <f>IF(E$41&lt;Założenia_Predpoklady!$C$4,E72,(365*E43*$C$39)*IF(Założenia_Predpoklady!$C$30="C",$C66,IF(Założenia_Predpoklady!$C$30="B",$D66,$E66)))</f>
        <v>0</v>
      </c>
      <c r="F81" s="2">
        <f>IF(F$41&lt;Założenia_Predpoklady!$C$4,F72,(365*F43*$C$39)*IF(Założenia_Predpoklady!$C$30="C",$C66,IF(Założenia_Predpoklady!$C$30="B",$D66,$E66)))</f>
        <v>0</v>
      </c>
      <c r="G81" s="2">
        <f>IF(G$41&lt;Założenia_Predpoklady!$C$4,G72,(365*G43*$C$39)*IF(Założenia_Predpoklady!$C$30="C",$C66,IF(Założenia_Predpoklady!$C$30="B",$D66,$E66)))</f>
        <v>0</v>
      </c>
      <c r="H81" s="2">
        <f>IF(H$41&lt;Założenia_Predpoklady!$C$4,H72,(365*H43*$C$39)*IF(Założenia_Predpoklady!$C$30="C",$C66,IF(Założenia_Predpoklady!$C$30="B",$D66,$E66)))</f>
        <v>0</v>
      </c>
      <c r="I81" s="2">
        <f>IF(I$41&lt;Założenia_Predpoklady!$C$4,I72,(365*I43*$C$39)*IF(Założenia_Predpoklady!$C$30="C",$C66,IF(Założenia_Predpoklady!$C$30="B",$D66,$E66)))</f>
        <v>0</v>
      </c>
      <c r="J81" s="2">
        <f>IF(J$41&lt;Założenia_Predpoklady!$C$4,J72,(365*J43*$C$39)*IF(Założenia_Predpoklady!$C$30="C",$C66,IF(Założenia_Predpoklady!$C$30="B",$D66,$E66)))</f>
        <v>0</v>
      </c>
      <c r="K81" s="2">
        <f>IF(K$41&lt;Założenia_Predpoklady!$C$4,K72,(365*K43*$C$39)*IF(Założenia_Predpoklady!$C$30="C",$C66,IF(Założenia_Predpoklady!$C$30="B",$D66,$E66)))</f>
        <v>0</v>
      </c>
      <c r="L81" s="2">
        <f>IF(L$41&lt;Założenia_Predpoklady!$C$4,L72,(365*L43*$C$39)*IF(Założenia_Predpoklady!$C$30="C",$C66,IF(Założenia_Predpoklady!$C$30="B",$D66,$E66)))</f>
        <v>0</v>
      </c>
      <c r="M81" s="2">
        <f>IF(M$41&lt;Założenia_Predpoklady!$C$4,M72,(365*M43*$C$39)*IF(Założenia_Predpoklady!$C$30="C",$C66,IF(Założenia_Predpoklady!$C$30="B",$D66,$E66)))</f>
        <v>0</v>
      </c>
      <c r="N81" s="2">
        <f>IF(N$41&lt;Założenia_Predpoklady!$C$4,N72,(365*N43*$C$39)*IF(Założenia_Predpoklady!$C$30="C",$C66,IF(Założenia_Predpoklady!$C$30="B",$D66,$E66)))</f>
        <v>0</v>
      </c>
      <c r="O81" s="2">
        <f>IF(O$41&lt;Założenia_Predpoklady!$C$4,O72,(365*O43*$C$39)*IF(Założenia_Predpoklady!$C$30="C",$C66,IF(Założenia_Predpoklady!$C$30="B",$D66,$E66)))</f>
        <v>0</v>
      </c>
      <c r="P81" s="2">
        <f>IF(P$41&lt;Założenia_Predpoklady!$C$4,P72,(365*P43*$C$39)*IF(Założenia_Predpoklady!$C$30="C",$C66,IF(Założenia_Predpoklady!$C$30="B",$D66,$E66)))</f>
        <v>0</v>
      </c>
      <c r="Q81" s="2">
        <f>IF(Q$41&lt;Założenia_Predpoklady!$C$4,Q72,(365*Q43*$C$39)*IF(Założenia_Predpoklady!$C$30="C",$C66,IF(Założenia_Predpoklady!$C$30="B",$D66,$E66)))</f>
        <v>0</v>
      </c>
      <c r="R81" s="2">
        <f>IF(R$41&lt;Założenia_Predpoklady!$C$4,R72,(365*R43*$C$39)*IF(Założenia_Predpoklady!$C$30="C",$C66,IF(Założenia_Predpoklady!$C$30="B",$D66,$E66)))</f>
        <v>0</v>
      </c>
      <c r="S81" s="2">
        <f>IF(S$41&lt;Założenia_Predpoklady!$C$4,S72,(365*S43*$C$39)*IF(Założenia_Predpoklady!$C$30="C",$C66,IF(Założenia_Predpoklady!$C$30="B",$D66,$E66)))</f>
        <v>0</v>
      </c>
      <c r="T81" s="2">
        <f>IF(T$41&lt;Założenia_Predpoklady!$C$4,T72,(365*T43*$C$39)*IF(Założenia_Predpoklady!$C$30="C",$C66,IF(Założenia_Predpoklady!$C$30="B",$D66,$E66)))</f>
        <v>0</v>
      </c>
      <c r="U81" s="2">
        <f>IF(U$41&lt;Założenia_Predpoklady!$C$4,U72,(365*U43*$C$39)*IF(Założenia_Predpoklady!$C$30="C",$C66,IF(Założenia_Predpoklady!$C$30="B",$D66,$E66)))</f>
        <v>0</v>
      </c>
      <c r="V81" s="2">
        <f>IF(V$41&lt;Założenia_Predpoklady!$C$4,V72,(365*V43*$C$39)*IF(Założenia_Predpoklady!$C$30="C",$C66,IF(Założenia_Predpoklady!$C$30="B",$D66,$E66)))</f>
        <v>0</v>
      </c>
      <c r="W81" s="2">
        <f>IF(W$41&lt;Założenia_Predpoklady!$C$4,W72,(365*W43*$C$39)*IF(Założenia_Predpoklady!$C$30="C",$C66,IF(Założenia_Predpoklady!$C$30="B",$D66,$E66)))</f>
        <v>0</v>
      </c>
      <c r="X81" s="2">
        <f>IF(X$41&lt;Założenia_Predpoklady!$C$4,X72,(365*X43*$C$39)*IF(Założenia_Predpoklady!$C$30="C",$C66,IF(Założenia_Predpoklady!$C$30="B",$D66,$E66)))</f>
        <v>0</v>
      </c>
      <c r="Y81" s="2">
        <f>IF(Y$41&lt;Założenia_Predpoklady!$C$4,Y72,(365*Y43*$C$39)*IF(Założenia_Predpoklady!$C$30="C",$C66,IF(Założenia_Predpoklady!$C$30="B",$D66,$E66)))</f>
        <v>0</v>
      </c>
      <c r="Z81" s="2">
        <f>IF(Z$41&lt;Założenia_Predpoklady!$C$4,Z72,(365*Z43*$C$39)*IF(Założenia_Predpoklady!$C$30="C",$C66,IF(Założenia_Predpoklady!$C$30="B",$D66,$E66)))</f>
        <v>0</v>
      </c>
      <c r="AA81" s="2">
        <f>IF(AA$41&lt;Założenia_Predpoklady!$C$4,AA72,(365*AA43*$C$39)*IF(Założenia_Predpoklady!$C$30="C",$C66,IF(Założenia_Predpoklady!$C$30="B",$D66,$E66)))</f>
        <v>0</v>
      </c>
    </row>
    <row r="82" spans="2:27" x14ac:dyDescent="0.25">
      <c r="B82" s="303" t="s">
        <v>133</v>
      </c>
      <c r="C82" s="2">
        <f>IF(C$41&lt;Założenia_Predpoklady!$C$4,C73,(365*C44*$C$39)*IF(Założenia_Predpoklady!$C$30="C",$C67,IF(Założenia_Predpoklady!$C$30="B",$D67,$E67)))</f>
        <v>0</v>
      </c>
      <c r="D82" s="2">
        <f>IF(D$41&lt;Założenia_Predpoklady!$C$4,D73,(365*D44*$C$39)*IF(Założenia_Predpoklady!$C$30="C",$C67,IF(Założenia_Predpoklady!$C$30="B",$D67,$E67)))</f>
        <v>0</v>
      </c>
      <c r="E82" s="2">
        <f>IF(E$41&lt;Założenia_Predpoklady!$C$4,E73,(365*E44*$C$39)*IF(Założenia_Predpoklady!$C$30="C",$C67,IF(Założenia_Predpoklady!$C$30="B",$D67,$E67)))</f>
        <v>0</v>
      </c>
      <c r="F82" s="2">
        <f>IF(F$41&lt;Założenia_Predpoklady!$C$4,F73,(365*F44*$C$39)*IF(Założenia_Predpoklady!$C$30="C",$C67,IF(Założenia_Predpoklady!$C$30="B",$D67,$E67)))</f>
        <v>0</v>
      </c>
      <c r="G82" s="2">
        <f>IF(G$41&lt;Założenia_Predpoklady!$C$4,G73,(365*G44*$C$39)*IF(Założenia_Predpoklady!$C$30="C",$C67,IF(Założenia_Predpoklady!$C$30="B",$D67,$E67)))</f>
        <v>0</v>
      </c>
      <c r="H82" s="2">
        <f>IF(H$41&lt;Założenia_Predpoklady!$C$4,H73,(365*H44*$C$39)*IF(Założenia_Predpoklady!$C$30="C",$C67,IF(Założenia_Predpoklady!$C$30="B",$D67,$E67)))</f>
        <v>0</v>
      </c>
      <c r="I82" s="2">
        <f>IF(I$41&lt;Założenia_Predpoklady!$C$4,I73,(365*I44*$C$39)*IF(Założenia_Predpoklady!$C$30="C",$C67,IF(Założenia_Predpoklady!$C$30="B",$D67,$E67)))</f>
        <v>0</v>
      </c>
      <c r="J82" s="2">
        <f>IF(J$41&lt;Założenia_Predpoklady!$C$4,J73,(365*J44*$C$39)*IF(Założenia_Predpoklady!$C$30="C",$C67,IF(Założenia_Predpoklady!$C$30="B",$D67,$E67)))</f>
        <v>0</v>
      </c>
      <c r="K82" s="2">
        <f>IF(K$41&lt;Założenia_Predpoklady!$C$4,K73,(365*K44*$C$39)*IF(Założenia_Predpoklady!$C$30="C",$C67,IF(Założenia_Predpoklady!$C$30="B",$D67,$E67)))</f>
        <v>0</v>
      </c>
      <c r="L82" s="2">
        <f>IF(L$41&lt;Założenia_Predpoklady!$C$4,L73,(365*L44*$C$39)*IF(Założenia_Predpoklady!$C$30="C",$C67,IF(Założenia_Predpoklady!$C$30="B",$D67,$E67)))</f>
        <v>0</v>
      </c>
      <c r="M82" s="2">
        <f>IF(M$41&lt;Założenia_Predpoklady!$C$4,M73,(365*M44*$C$39)*IF(Założenia_Predpoklady!$C$30="C",$C67,IF(Założenia_Predpoklady!$C$30="B",$D67,$E67)))</f>
        <v>0</v>
      </c>
      <c r="N82" s="2">
        <f>IF(N$41&lt;Założenia_Predpoklady!$C$4,N73,(365*N44*$C$39)*IF(Założenia_Predpoklady!$C$30="C",$C67,IF(Założenia_Predpoklady!$C$30="B",$D67,$E67)))</f>
        <v>0</v>
      </c>
      <c r="O82" s="2">
        <f>IF(O$41&lt;Założenia_Predpoklady!$C$4,O73,(365*O44*$C$39)*IF(Założenia_Predpoklady!$C$30="C",$C67,IF(Założenia_Predpoklady!$C$30="B",$D67,$E67)))</f>
        <v>0</v>
      </c>
      <c r="P82" s="2">
        <f>IF(P$41&lt;Założenia_Predpoklady!$C$4,P73,(365*P44*$C$39)*IF(Założenia_Predpoklady!$C$30="C",$C67,IF(Założenia_Predpoklady!$C$30="B",$D67,$E67)))</f>
        <v>0</v>
      </c>
      <c r="Q82" s="2">
        <f>IF(Q$41&lt;Założenia_Predpoklady!$C$4,Q73,(365*Q44*$C$39)*IF(Założenia_Predpoklady!$C$30="C",$C67,IF(Założenia_Predpoklady!$C$30="B",$D67,$E67)))</f>
        <v>0</v>
      </c>
      <c r="R82" s="2">
        <f>IF(R$41&lt;Założenia_Predpoklady!$C$4,R73,(365*R44*$C$39)*IF(Założenia_Predpoklady!$C$30="C",$C67,IF(Założenia_Predpoklady!$C$30="B",$D67,$E67)))</f>
        <v>0</v>
      </c>
      <c r="S82" s="2">
        <f>IF(S$41&lt;Założenia_Predpoklady!$C$4,S73,(365*S44*$C$39)*IF(Założenia_Predpoklady!$C$30="C",$C67,IF(Założenia_Predpoklady!$C$30="B",$D67,$E67)))</f>
        <v>0</v>
      </c>
      <c r="T82" s="2">
        <f>IF(T$41&lt;Założenia_Predpoklady!$C$4,T73,(365*T44*$C$39)*IF(Założenia_Predpoklady!$C$30="C",$C67,IF(Założenia_Predpoklady!$C$30="B",$D67,$E67)))</f>
        <v>0</v>
      </c>
      <c r="U82" s="2">
        <f>IF(U$41&lt;Założenia_Predpoklady!$C$4,U73,(365*U44*$C$39)*IF(Założenia_Predpoklady!$C$30="C",$C67,IF(Założenia_Predpoklady!$C$30="B",$D67,$E67)))</f>
        <v>0</v>
      </c>
      <c r="V82" s="2">
        <f>IF(V$41&lt;Założenia_Predpoklady!$C$4,V73,(365*V44*$C$39)*IF(Założenia_Predpoklady!$C$30="C",$C67,IF(Założenia_Predpoklady!$C$30="B",$D67,$E67)))</f>
        <v>0</v>
      </c>
      <c r="W82" s="2">
        <f>IF(W$41&lt;Założenia_Predpoklady!$C$4,W73,(365*W44*$C$39)*IF(Założenia_Predpoklady!$C$30="C",$C67,IF(Założenia_Predpoklady!$C$30="B",$D67,$E67)))</f>
        <v>0</v>
      </c>
      <c r="X82" s="2">
        <f>IF(X$41&lt;Założenia_Predpoklady!$C$4,X73,(365*X44*$C$39)*IF(Założenia_Predpoklady!$C$30="C",$C67,IF(Założenia_Predpoklady!$C$30="B",$D67,$E67)))</f>
        <v>0</v>
      </c>
      <c r="Y82" s="2">
        <f>IF(Y$41&lt;Założenia_Predpoklady!$C$4,Y73,(365*Y44*$C$39)*IF(Założenia_Predpoklady!$C$30="C",$C67,IF(Założenia_Predpoklady!$C$30="B",$D67,$E67)))</f>
        <v>0</v>
      </c>
      <c r="Z82" s="2">
        <f>IF(Z$41&lt;Założenia_Predpoklady!$C$4,Z73,(365*Z44*$C$39)*IF(Założenia_Predpoklady!$C$30="C",$C67,IF(Założenia_Predpoklady!$C$30="B",$D67,$E67)))</f>
        <v>0</v>
      </c>
      <c r="AA82" s="2">
        <f>IF(AA$41&lt;Założenia_Predpoklady!$C$4,AA73,(365*AA44*$C$39)*IF(Założenia_Predpoklady!$C$30="C",$C67,IF(Założenia_Predpoklady!$C$30="B",$D67,$E67)))</f>
        <v>0</v>
      </c>
    </row>
    <row r="83" spans="2:27" x14ac:dyDescent="0.25">
      <c r="B83" s="303" t="s">
        <v>134</v>
      </c>
      <c r="C83" s="2">
        <f>IF(C$41&lt;Założenia_Predpoklady!$C$4,C74,(365*C45*$C$39)*IF(Założenia_Predpoklady!$C$30="C",$C68,IF(Założenia_Predpoklady!$C$30="B",$D68,$E68)))</f>
        <v>0</v>
      </c>
      <c r="D83" s="2">
        <f>IF(D$41&lt;Założenia_Predpoklady!$C$4,D74,(365*D45*$C$39)*IF(Założenia_Predpoklady!$C$30="C",$C68,IF(Założenia_Predpoklady!$C$30="B",$D68,$E68)))</f>
        <v>0</v>
      </c>
      <c r="E83" s="2">
        <f>IF(E$41&lt;Założenia_Predpoklady!$C$4,E74,(365*E45*$C$39)*IF(Założenia_Predpoklady!$C$30="C",$C68,IF(Założenia_Predpoklady!$C$30="B",$D68,$E68)))</f>
        <v>0</v>
      </c>
      <c r="F83" s="2">
        <f>IF(F$41&lt;Założenia_Predpoklady!$C$4,F74,(365*F45*$C$39)*IF(Założenia_Predpoklady!$C$30="C",$C68,IF(Założenia_Predpoklady!$C$30="B",$D68,$E68)))</f>
        <v>0</v>
      </c>
      <c r="G83" s="2">
        <f>IF(G$41&lt;Założenia_Predpoklady!$C$4,G74,(365*G45*$C$39)*IF(Założenia_Predpoklady!$C$30="C",$C68,IF(Założenia_Predpoklady!$C$30="B",$D68,$E68)))</f>
        <v>0</v>
      </c>
      <c r="H83" s="2">
        <f>IF(H$41&lt;Założenia_Predpoklady!$C$4,H74,(365*H45*$C$39)*IF(Założenia_Predpoklady!$C$30="C",$C68,IF(Założenia_Predpoklady!$C$30="B",$D68,$E68)))</f>
        <v>0</v>
      </c>
      <c r="I83" s="2">
        <f>IF(I$41&lt;Założenia_Predpoklady!$C$4,I74,(365*I45*$C$39)*IF(Założenia_Predpoklady!$C$30="C",$C68,IF(Założenia_Predpoklady!$C$30="B",$D68,$E68)))</f>
        <v>0</v>
      </c>
      <c r="J83" s="2">
        <f>IF(J$41&lt;Założenia_Predpoklady!$C$4,J74,(365*J45*$C$39)*IF(Założenia_Predpoklady!$C$30="C",$C68,IF(Założenia_Predpoklady!$C$30="B",$D68,$E68)))</f>
        <v>0</v>
      </c>
      <c r="K83" s="2">
        <f>IF(K$41&lt;Założenia_Predpoklady!$C$4,K74,(365*K45*$C$39)*IF(Założenia_Predpoklady!$C$30="C",$C68,IF(Założenia_Predpoklady!$C$30="B",$D68,$E68)))</f>
        <v>0</v>
      </c>
      <c r="L83" s="2">
        <f>IF(L$41&lt;Założenia_Predpoklady!$C$4,L74,(365*L45*$C$39)*IF(Założenia_Predpoklady!$C$30="C",$C68,IF(Założenia_Predpoklady!$C$30="B",$D68,$E68)))</f>
        <v>0</v>
      </c>
      <c r="M83" s="2">
        <f>IF(M$41&lt;Założenia_Predpoklady!$C$4,M74,(365*M45*$C$39)*IF(Założenia_Predpoklady!$C$30="C",$C68,IF(Założenia_Predpoklady!$C$30="B",$D68,$E68)))</f>
        <v>0</v>
      </c>
      <c r="N83" s="2">
        <f>IF(N$41&lt;Założenia_Predpoklady!$C$4,N74,(365*N45*$C$39)*IF(Założenia_Predpoklady!$C$30="C",$C68,IF(Założenia_Predpoklady!$C$30="B",$D68,$E68)))</f>
        <v>0</v>
      </c>
      <c r="O83" s="2">
        <f>IF(O$41&lt;Założenia_Predpoklady!$C$4,O74,(365*O45*$C$39)*IF(Założenia_Predpoklady!$C$30="C",$C68,IF(Założenia_Predpoklady!$C$30="B",$D68,$E68)))</f>
        <v>0</v>
      </c>
      <c r="P83" s="2">
        <f>IF(P$41&lt;Założenia_Predpoklady!$C$4,P74,(365*P45*$C$39)*IF(Założenia_Predpoklady!$C$30="C",$C68,IF(Założenia_Predpoklady!$C$30="B",$D68,$E68)))</f>
        <v>0</v>
      </c>
      <c r="Q83" s="2">
        <f>IF(Q$41&lt;Założenia_Predpoklady!$C$4,Q74,(365*Q45*$C$39)*IF(Założenia_Predpoklady!$C$30="C",$C68,IF(Założenia_Predpoklady!$C$30="B",$D68,$E68)))</f>
        <v>0</v>
      </c>
      <c r="R83" s="2">
        <f>IF(R$41&lt;Założenia_Predpoklady!$C$4,R74,(365*R45*$C$39)*IF(Założenia_Predpoklady!$C$30="C",$C68,IF(Założenia_Predpoklady!$C$30="B",$D68,$E68)))</f>
        <v>0</v>
      </c>
      <c r="S83" s="2">
        <f>IF(S$41&lt;Założenia_Predpoklady!$C$4,S74,(365*S45*$C$39)*IF(Założenia_Predpoklady!$C$30="C",$C68,IF(Założenia_Predpoklady!$C$30="B",$D68,$E68)))</f>
        <v>0</v>
      </c>
      <c r="T83" s="2">
        <f>IF(T$41&lt;Założenia_Predpoklady!$C$4,T74,(365*T45*$C$39)*IF(Założenia_Predpoklady!$C$30="C",$C68,IF(Założenia_Predpoklady!$C$30="B",$D68,$E68)))</f>
        <v>0</v>
      </c>
      <c r="U83" s="2">
        <f>IF(U$41&lt;Założenia_Predpoklady!$C$4,U74,(365*U45*$C$39)*IF(Założenia_Predpoklady!$C$30="C",$C68,IF(Założenia_Predpoklady!$C$30="B",$D68,$E68)))</f>
        <v>0</v>
      </c>
      <c r="V83" s="2">
        <f>IF(V$41&lt;Założenia_Predpoklady!$C$4,V74,(365*V45*$C$39)*IF(Założenia_Predpoklady!$C$30="C",$C68,IF(Założenia_Predpoklady!$C$30="B",$D68,$E68)))</f>
        <v>0</v>
      </c>
      <c r="W83" s="2">
        <f>IF(W$41&lt;Założenia_Predpoklady!$C$4,W74,(365*W45*$C$39)*IF(Założenia_Predpoklady!$C$30="C",$C68,IF(Założenia_Predpoklady!$C$30="B",$D68,$E68)))</f>
        <v>0</v>
      </c>
      <c r="X83" s="2">
        <f>IF(X$41&lt;Założenia_Predpoklady!$C$4,X74,(365*X45*$C$39)*IF(Założenia_Predpoklady!$C$30="C",$C68,IF(Założenia_Predpoklady!$C$30="B",$D68,$E68)))</f>
        <v>0</v>
      </c>
      <c r="Y83" s="2">
        <f>IF(Y$41&lt;Założenia_Predpoklady!$C$4,Y74,(365*Y45*$C$39)*IF(Założenia_Predpoklady!$C$30="C",$C68,IF(Założenia_Predpoklady!$C$30="B",$D68,$E68)))</f>
        <v>0</v>
      </c>
      <c r="Z83" s="2">
        <f>IF(Z$41&lt;Założenia_Predpoklady!$C$4,Z74,(365*Z45*$C$39)*IF(Założenia_Predpoklady!$C$30="C",$C68,IF(Założenia_Predpoklady!$C$30="B",$D68,$E68)))</f>
        <v>0</v>
      </c>
      <c r="AA83" s="2">
        <f>IF(AA$41&lt;Założenia_Predpoklady!$C$4,AA74,(365*AA45*$C$39)*IF(Założenia_Predpoklady!$C$30="C",$C68,IF(Założenia_Predpoklady!$C$30="B",$D68,$E68)))</f>
        <v>0</v>
      </c>
    </row>
    <row r="84" spans="2:27" x14ac:dyDescent="0.25">
      <c r="B84" s="303" t="s">
        <v>135</v>
      </c>
      <c r="C84" s="2">
        <f>IF(C$41&lt;Założenia_Predpoklady!$C$4,C75,(365*C46*$C$39)*IF(Założenia_Predpoklady!$C$30="C",$C69,IF(Założenia_Predpoklady!$C$30="B",$D69,$E69)))</f>
        <v>0</v>
      </c>
      <c r="D84" s="2">
        <f>IF(D$41&lt;Założenia_Predpoklady!$C$4,D75,(365*D46*$C$39)*IF(Założenia_Predpoklady!$C$30="C",$C69,IF(Założenia_Predpoklady!$C$30="B",$D69,$E69)))</f>
        <v>0</v>
      </c>
      <c r="E84" s="2">
        <f>IF(E$41&lt;Założenia_Predpoklady!$C$4,E75,(365*E46*$C$39)*IF(Założenia_Predpoklady!$C$30="C",$C69,IF(Założenia_Predpoklady!$C$30="B",$D69,$E69)))</f>
        <v>0</v>
      </c>
      <c r="F84" s="2">
        <f>IF(F$41&lt;Założenia_Predpoklady!$C$4,F75,(365*F46*$C$39)*IF(Założenia_Predpoklady!$C$30="C",$C69,IF(Założenia_Predpoklady!$C$30="B",$D69,$E69)))</f>
        <v>0</v>
      </c>
      <c r="G84" s="2">
        <f>IF(G$41&lt;Założenia_Predpoklady!$C$4,G75,(365*G46*$C$39)*IF(Założenia_Predpoklady!$C$30="C",$C69,IF(Założenia_Predpoklady!$C$30="B",$D69,$E69)))</f>
        <v>0</v>
      </c>
      <c r="H84" s="2">
        <f>IF(H$41&lt;Założenia_Predpoklady!$C$4,H75,(365*H46*$C$39)*IF(Założenia_Predpoklady!$C$30="C",$C69,IF(Założenia_Predpoklady!$C$30="B",$D69,$E69)))</f>
        <v>0</v>
      </c>
      <c r="I84" s="2">
        <f>IF(I$41&lt;Założenia_Predpoklady!$C$4,I75,(365*I46*$C$39)*IF(Założenia_Predpoklady!$C$30="C",$C69,IF(Założenia_Predpoklady!$C$30="B",$D69,$E69)))</f>
        <v>0</v>
      </c>
      <c r="J84" s="2">
        <f>IF(J$41&lt;Założenia_Predpoklady!$C$4,J75,(365*J46*$C$39)*IF(Założenia_Predpoklady!$C$30="C",$C69,IF(Założenia_Predpoklady!$C$30="B",$D69,$E69)))</f>
        <v>0</v>
      </c>
      <c r="K84" s="2">
        <f>IF(K$41&lt;Założenia_Predpoklady!$C$4,K75,(365*K46*$C$39)*IF(Założenia_Predpoklady!$C$30="C",$C69,IF(Założenia_Predpoklady!$C$30="B",$D69,$E69)))</f>
        <v>0</v>
      </c>
      <c r="L84" s="2">
        <f>IF(L$41&lt;Założenia_Predpoklady!$C$4,L75,(365*L46*$C$39)*IF(Założenia_Predpoklady!$C$30="C",$C69,IF(Założenia_Predpoklady!$C$30="B",$D69,$E69)))</f>
        <v>0</v>
      </c>
      <c r="M84" s="2">
        <f>IF(M$41&lt;Założenia_Predpoklady!$C$4,M75,(365*M46*$C$39)*IF(Założenia_Predpoklady!$C$30="C",$C69,IF(Założenia_Predpoklady!$C$30="B",$D69,$E69)))</f>
        <v>0</v>
      </c>
      <c r="N84" s="2">
        <f>IF(N$41&lt;Założenia_Predpoklady!$C$4,N75,(365*N46*$C$39)*IF(Założenia_Predpoklady!$C$30="C",$C69,IF(Założenia_Predpoklady!$C$30="B",$D69,$E69)))</f>
        <v>0</v>
      </c>
      <c r="O84" s="2">
        <f>IF(O$41&lt;Założenia_Predpoklady!$C$4,O75,(365*O46*$C$39)*IF(Założenia_Predpoklady!$C$30="C",$C69,IF(Założenia_Predpoklady!$C$30="B",$D69,$E69)))</f>
        <v>0</v>
      </c>
      <c r="P84" s="2">
        <f>IF(P$41&lt;Założenia_Predpoklady!$C$4,P75,(365*P46*$C$39)*IF(Założenia_Predpoklady!$C$30="C",$C69,IF(Założenia_Predpoklady!$C$30="B",$D69,$E69)))</f>
        <v>0</v>
      </c>
      <c r="Q84" s="2">
        <f>IF(Q$41&lt;Założenia_Predpoklady!$C$4,Q75,(365*Q46*$C$39)*IF(Założenia_Predpoklady!$C$30="C",$C69,IF(Założenia_Predpoklady!$C$30="B",$D69,$E69)))</f>
        <v>0</v>
      </c>
      <c r="R84" s="2">
        <f>IF(R$41&lt;Założenia_Predpoklady!$C$4,R75,(365*R46*$C$39)*IF(Założenia_Predpoklady!$C$30="C",$C69,IF(Założenia_Predpoklady!$C$30="B",$D69,$E69)))</f>
        <v>0</v>
      </c>
      <c r="S84" s="2">
        <f>IF(S$41&lt;Założenia_Predpoklady!$C$4,S75,(365*S46*$C$39)*IF(Założenia_Predpoklady!$C$30="C",$C69,IF(Założenia_Predpoklady!$C$30="B",$D69,$E69)))</f>
        <v>0</v>
      </c>
      <c r="T84" s="2">
        <f>IF(T$41&lt;Założenia_Predpoklady!$C$4,T75,(365*T46*$C$39)*IF(Założenia_Predpoklady!$C$30="C",$C69,IF(Założenia_Predpoklady!$C$30="B",$D69,$E69)))</f>
        <v>0</v>
      </c>
      <c r="U84" s="2">
        <f>IF(U$41&lt;Założenia_Predpoklady!$C$4,U75,(365*U46*$C$39)*IF(Założenia_Predpoklady!$C$30="C",$C69,IF(Założenia_Predpoklady!$C$30="B",$D69,$E69)))</f>
        <v>0</v>
      </c>
      <c r="V84" s="2">
        <f>IF(V$41&lt;Założenia_Predpoklady!$C$4,V75,(365*V46*$C$39)*IF(Założenia_Predpoklady!$C$30="C",$C69,IF(Założenia_Predpoklady!$C$30="B",$D69,$E69)))</f>
        <v>0</v>
      </c>
      <c r="W84" s="2">
        <f>IF(W$41&lt;Założenia_Predpoklady!$C$4,W75,(365*W46*$C$39)*IF(Założenia_Predpoklady!$C$30="C",$C69,IF(Założenia_Predpoklady!$C$30="B",$D69,$E69)))</f>
        <v>0</v>
      </c>
      <c r="X84" s="2">
        <f>IF(X$41&lt;Założenia_Predpoklady!$C$4,X75,(365*X46*$C$39)*IF(Założenia_Predpoklady!$C$30="C",$C69,IF(Założenia_Predpoklady!$C$30="B",$D69,$E69)))</f>
        <v>0</v>
      </c>
      <c r="Y84" s="2">
        <f>IF(Y$41&lt;Założenia_Predpoklady!$C$4,Y75,(365*Y46*$C$39)*IF(Założenia_Predpoklady!$C$30="C",$C69,IF(Założenia_Predpoklady!$C$30="B",$D69,$E69)))</f>
        <v>0</v>
      </c>
      <c r="Z84" s="2">
        <f>IF(Z$41&lt;Założenia_Predpoklady!$C$4,Z75,(365*Z46*$C$39)*IF(Założenia_Predpoklady!$C$30="C",$C69,IF(Założenia_Predpoklady!$C$30="B",$D69,$E69)))</f>
        <v>0</v>
      </c>
      <c r="AA84" s="2">
        <f>IF(AA$41&lt;Założenia_Predpoklady!$C$4,AA75,(365*AA46*$C$39)*IF(Założenia_Predpoklady!$C$30="C",$C69,IF(Założenia_Predpoklady!$C$30="B",$D69,$E69)))</f>
        <v>0</v>
      </c>
    </row>
    <row r="85" spans="2:27" ht="36" x14ac:dyDescent="0.35">
      <c r="B85" s="304" t="s">
        <v>146</v>
      </c>
      <c r="C85" s="29">
        <f>SUM(C80:C84)</f>
        <v>0</v>
      </c>
      <c r="D85" s="29">
        <f t="shared" ref="D85:AA85" si="27">SUM(D80:D84)</f>
        <v>0</v>
      </c>
      <c r="E85" s="29">
        <f t="shared" si="27"/>
        <v>0</v>
      </c>
      <c r="F85" s="29">
        <f t="shared" si="27"/>
        <v>0</v>
      </c>
      <c r="G85" s="29">
        <f t="shared" si="27"/>
        <v>0</v>
      </c>
      <c r="H85" s="29">
        <f t="shared" si="27"/>
        <v>0</v>
      </c>
      <c r="I85" s="29">
        <f t="shared" si="27"/>
        <v>0</v>
      </c>
      <c r="J85" s="29">
        <f t="shared" si="27"/>
        <v>0</v>
      </c>
      <c r="K85" s="29">
        <f t="shared" si="27"/>
        <v>0</v>
      </c>
      <c r="L85" s="29">
        <f t="shared" si="27"/>
        <v>0</v>
      </c>
      <c r="M85" s="29">
        <f t="shared" si="27"/>
        <v>0</v>
      </c>
      <c r="N85" s="29">
        <f t="shared" si="27"/>
        <v>0</v>
      </c>
      <c r="O85" s="29">
        <f t="shared" si="27"/>
        <v>0</v>
      </c>
      <c r="P85" s="29">
        <f t="shared" si="27"/>
        <v>0</v>
      </c>
      <c r="Q85" s="29">
        <f t="shared" si="27"/>
        <v>0</v>
      </c>
      <c r="R85" s="29">
        <f t="shared" si="27"/>
        <v>0</v>
      </c>
      <c r="S85" s="29">
        <f t="shared" si="27"/>
        <v>0</v>
      </c>
      <c r="T85" s="29">
        <f t="shared" si="27"/>
        <v>0</v>
      </c>
      <c r="U85" s="29">
        <f t="shared" si="27"/>
        <v>0</v>
      </c>
      <c r="V85" s="29">
        <f t="shared" si="27"/>
        <v>0</v>
      </c>
      <c r="W85" s="29">
        <f t="shared" si="27"/>
        <v>0</v>
      </c>
      <c r="X85" s="29">
        <f t="shared" si="27"/>
        <v>0</v>
      </c>
      <c r="Y85" s="29">
        <f t="shared" si="27"/>
        <v>0</v>
      </c>
      <c r="Z85" s="29">
        <f t="shared" si="27"/>
        <v>0</v>
      </c>
      <c r="AA85" s="29">
        <f t="shared" si="27"/>
        <v>0</v>
      </c>
    </row>
    <row r="86" spans="2:27" ht="36" x14ac:dyDescent="0.35">
      <c r="B86" s="304" t="s">
        <v>147</v>
      </c>
      <c r="C86" s="27">
        <f>C76-C85</f>
        <v>0</v>
      </c>
      <c r="D86" s="27">
        <f t="shared" ref="D86:AA86" si="28">D76-D85</f>
        <v>0</v>
      </c>
      <c r="E86" s="27">
        <f t="shared" si="28"/>
        <v>0</v>
      </c>
      <c r="F86" s="27">
        <f t="shared" si="28"/>
        <v>0</v>
      </c>
      <c r="G86" s="27">
        <f t="shared" si="28"/>
        <v>0</v>
      </c>
      <c r="H86" s="27">
        <f t="shared" si="28"/>
        <v>0</v>
      </c>
      <c r="I86" s="27">
        <f t="shared" si="28"/>
        <v>0</v>
      </c>
      <c r="J86" s="27">
        <f t="shared" si="28"/>
        <v>0</v>
      </c>
      <c r="K86" s="27">
        <f t="shared" si="28"/>
        <v>0</v>
      </c>
      <c r="L86" s="27">
        <f t="shared" si="28"/>
        <v>0</v>
      </c>
      <c r="M86" s="27">
        <f t="shared" si="28"/>
        <v>0</v>
      </c>
      <c r="N86" s="27">
        <f t="shared" si="28"/>
        <v>0</v>
      </c>
      <c r="O86" s="27">
        <f t="shared" si="28"/>
        <v>0</v>
      </c>
      <c r="P86" s="27">
        <f t="shared" si="28"/>
        <v>0</v>
      </c>
      <c r="Q86" s="27">
        <f t="shared" si="28"/>
        <v>0</v>
      </c>
      <c r="R86" s="27">
        <f t="shared" si="28"/>
        <v>0</v>
      </c>
      <c r="S86" s="27">
        <f t="shared" si="28"/>
        <v>0</v>
      </c>
      <c r="T86" s="27">
        <f t="shared" si="28"/>
        <v>0</v>
      </c>
      <c r="U86" s="27">
        <f t="shared" si="28"/>
        <v>0</v>
      </c>
      <c r="V86" s="27">
        <f t="shared" si="28"/>
        <v>0</v>
      </c>
      <c r="W86" s="27">
        <f t="shared" si="28"/>
        <v>0</v>
      </c>
      <c r="X86" s="27">
        <f t="shared" si="28"/>
        <v>0</v>
      </c>
      <c r="Y86" s="27">
        <f t="shared" si="28"/>
        <v>0</v>
      </c>
      <c r="Z86" s="27">
        <f t="shared" si="28"/>
        <v>0</v>
      </c>
      <c r="AA86" s="27">
        <f t="shared" si="28"/>
        <v>0</v>
      </c>
    </row>
    <row r="87" spans="2:27" ht="3" customHeight="1" x14ac:dyDescent="0.25">
      <c r="B87" s="19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</row>
    <row r="88" spans="2:27" ht="30" x14ac:dyDescent="0.25">
      <c r="B88" s="260" t="s">
        <v>234</v>
      </c>
      <c r="C88" s="214"/>
      <c r="D88" s="214"/>
      <c r="E88" s="214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</row>
    <row r="89" spans="2:27" ht="30" customHeight="1" x14ac:dyDescent="0.25">
      <c r="B89" s="461" t="s">
        <v>416</v>
      </c>
      <c r="C89" s="544" t="s">
        <v>417</v>
      </c>
      <c r="D89" s="544"/>
      <c r="E89" s="544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</row>
    <row r="90" spans="2:27" x14ac:dyDescent="0.25">
      <c r="B90" s="19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</row>
    <row r="91" spans="2:27" ht="36.75" customHeight="1" x14ac:dyDescent="0.25">
      <c r="B91" s="551" t="s">
        <v>301</v>
      </c>
      <c r="C91" s="551"/>
      <c r="D91" s="551"/>
    </row>
    <row r="92" spans="2:27" ht="60" x14ac:dyDescent="0.25">
      <c r="B92" s="305" t="s">
        <v>347</v>
      </c>
      <c r="C92" s="199" t="s">
        <v>150</v>
      </c>
      <c r="D92" s="199" t="s">
        <v>151</v>
      </c>
    </row>
    <row r="93" spans="2:27" x14ac:dyDescent="0.25">
      <c r="B93" s="303" t="s">
        <v>131</v>
      </c>
      <c r="C93" s="447"/>
      <c r="D93" s="547"/>
    </row>
    <row r="94" spans="2:27" x14ac:dyDescent="0.25">
      <c r="B94" s="303" t="s">
        <v>135</v>
      </c>
      <c r="C94" s="447"/>
      <c r="D94" s="547"/>
    </row>
    <row r="95" spans="2:27" x14ac:dyDescent="0.25">
      <c r="B95" s="195"/>
      <c r="C95" s="54"/>
      <c r="D95" s="54"/>
      <c r="E95" s="1"/>
    </row>
    <row r="96" spans="2:27" ht="30" x14ac:dyDescent="0.25">
      <c r="B96" s="299" t="s">
        <v>130</v>
      </c>
      <c r="C96" s="53">
        <f>C70</f>
        <v>2016</v>
      </c>
      <c r="D96" s="53">
        <f t="shared" ref="D96:AA96" si="29">D70</f>
        <v>2017</v>
      </c>
      <c r="E96" s="53">
        <f t="shared" si="29"/>
        <v>2018</v>
      </c>
      <c r="F96" s="53">
        <f t="shared" si="29"/>
        <v>2019</v>
      </c>
      <c r="G96" s="53">
        <f t="shared" si="29"/>
        <v>2020</v>
      </c>
      <c r="H96" s="53">
        <f t="shared" si="29"/>
        <v>2021</v>
      </c>
      <c r="I96" s="53">
        <f t="shared" si="29"/>
        <v>2022</v>
      </c>
      <c r="J96" s="53">
        <f t="shared" si="29"/>
        <v>2023</v>
      </c>
      <c r="K96" s="53">
        <f t="shared" si="29"/>
        <v>2024</v>
      </c>
      <c r="L96" s="53">
        <f t="shared" si="29"/>
        <v>2025</v>
      </c>
      <c r="M96" s="53">
        <f t="shared" si="29"/>
        <v>2026</v>
      </c>
      <c r="N96" s="53">
        <f t="shared" si="29"/>
        <v>2027</v>
      </c>
      <c r="O96" s="53">
        <f t="shared" si="29"/>
        <v>2028</v>
      </c>
      <c r="P96" s="53">
        <f t="shared" si="29"/>
        <v>2029</v>
      </c>
      <c r="Q96" s="53">
        <f t="shared" si="29"/>
        <v>2030</v>
      </c>
      <c r="R96" s="53">
        <f t="shared" si="29"/>
        <v>2031</v>
      </c>
      <c r="S96" s="53">
        <f t="shared" si="29"/>
        <v>2032</v>
      </c>
      <c r="T96" s="53">
        <f t="shared" si="29"/>
        <v>2033</v>
      </c>
      <c r="U96" s="53">
        <f t="shared" si="29"/>
        <v>2034</v>
      </c>
      <c r="V96" s="53">
        <f t="shared" si="29"/>
        <v>2035</v>
      </c>
      <c r="W96" s="53">
        <f t="shared" si="29"/>
        <v>2036</v>
      </c>
      <c r="X96" s="53">
        <f t="shared" si="29"/>
        <v>2037</v>
      </c>
      <c r="Y96" s="53">
        <f t="shared" si="29"/>
        <v>2038</v>
      </c>
      <c r="Z96" s="53">
        <f t="shared" si="29"/>
        <v>2039</v>
      </c>
      <c r="AA96" s="53">
        <f t="shared" si="29"/>
        <v>2040</v>
      </c>
    </row>
    <row r="97" spans="2:27" ht="36" x14ac:dyDescent="0.35">
      <c r="B97" s="304" t="s">
        <v>152</v>
      </c>
      <c r="C97" s="219" t="e">
        <f t="shared" ref="C97:AA97" si="30">((C16*365*C$27/3600)*$C$93*$D$93)+(C20*365*C$28/3600)*$C$94*$D$93</f>
        <v>#DIV/0!</v>
      </c>
      <c r="D97" s="219" t="e">
        <f t="shared" si="30"/>
        <v>#DIV/0!</v>
      </c>
      <c r="E97" s="219" t="e">
        <f t="shared" si="30"/>
        <v>#DIV/0!</v>
      </c>
      <c r="F97" s="219" t="e">
        <f t="shared" si="30"/>
        <v>#DIV/0!</v>
      </c>
      <c r="G97" s="219" t="e">
        <f t="shared" si="30"/>
        <v>#DIV/0!</v>
      </c>
      <c r="H97" s="219" t="e">
        <f t="shared" si="30"/>
        <v>#DIV/0!</v>
      </c>
      <c r="I97" s="219" t="e">
        <f t="shared" si="30"/>
        <v>#DIV/0!</v>
      </c>
      <c r="J97" s="219" t="e">
        <f t="shared" si="30"/>
        <v>#DIV/0!</v>
      </c>
      <c r="K97" s="219" t="e">
        <f t="shared" si="30"/>
        <v>#DIV/0!</v>
      </c>
      <c r="L97" s="219" t="e">
        <f t="shared" si="30"/>
        <v>#DIV/0!</v>
      </c>
      <c r="M97" s="219" t="e">
        <f t="shared" si="30"/>
        <v>#DIV/0!</v>
      </c>
      <c r="N97" s="219" t="e">
        <f t="shared" si="30"/>
        <v>#DIV/0!</v>
      </c>
      <c r="O97" s="219" t="e">
        <f t="shared" si="30"/>
        <v>#DIV/0!</v>
      </c>
      <c r="P97" s="219" t="e">
        <f t="shared" si="30"/>
        <v>#DIV/0!</v>
      </c>
      <c r="Q97" s="219" t="e">
        <f t="shared" si="30"/>
        <v>#DIV/0!</v>
      </c>
      <c r="R97" s="219" t="e">
        <f t="shared" si="30"/>
        <v>#DIV/0!</v>
      </c>
      <c r="S97" s="219" t="e">
        <f t="shared" si="30"/>
        <v>#DIV/0!</v>
      </c>
      <c r="T97" s="219" t="e">
        <f t="shared" si="30"/>
        <v>#DIV/0!</v>
      </c>
      <c r="U97" s="219" t="e">
        <f t="shared" si="30"/>
        <v>#DIV/0!</v>
      </c>
      <c r="V97" s="219" t="e">
        <f t="shared" si="30"/>
        <v>#DIV/0!</v>
      </c>
      <c r="W97" s="219" t="e">
        <f t="shared" si="30"/>
        <v>#DIV/0!</v>
      </c>
      <c r="X97" s="219" t="e">
        <f t="shared" si="30"/>
        <v>#DIV/0!</v>
      </c>
      <c r="Y97" s="219" t="e">
        <f t="shared" si="30"/>
        <v>#DIV/0!</v>
      </c>
      <c r="Z97" s="219" t="e">
        <f t="shared" si="30"/>
        <v>#DIV/0!</v>
      </c>
      <c r="AA97" s="219" t="e">
        <f t="shared" si="30"/>
        <v>#DIV/0!</v>
      </c>
    </row>
    <row r="98" spans="2:27" x14ac:dyDescent="0.25">
      <c r="B98" s="95"/>
    </row>
    <row r="99" spans="2:27" ht="37.5" customHeight="1" x14ac:dyDescent="0.25">
      <c r="B99" s="555" t="s">
        <v>302</v>
      </c>
      <c r="C99" s="555"/>
      <c r="D99" s="555"/>
    </row>
    <row r="100" spans="2:27" x14ac:dyDescent="0.25">
      <c r="B100" s="95"/>
    </row>
    <row r="101" spans="2:27" ht="30" x14ac:dyDescent="0.25">
      <c r="B101" s="299" t="s">
        <v>130</v>
      </c>
      <c r="C101" s="53">
        <f>C96</f>
        <v>2016</v>
      </c>
      <c r="D101" s="53">
        <f t="shared" ref="D101:AA101" si="31">D96</f>
        <v>2017</v>
      </c>
      <c r="E101" s="53">
        <f t="shared" si="31"/>
        <v>2018</v>
      </c>
      <c r="F101" s="53">
        <f t="shared" si="31"/>
        <v>2019</v>
      </c>
      <c r="G101" s="53">
        <f t="shared" si="31"/>
        <v>2020</v>
      </c>
      <c r="H101" s="53">
        <f t="shared" si="31"/>
        <v>2021</v>
      </c>
      <c r="I101" s="53">
        <f t="shared" si="31"/>
        <v>2022</v>
      </c>
      <c r="J101" s="53">
        <f t="shared" si="31"/>
        <v>2023</v>
      </c>
      <c r="K101" s="53">
        <f t="shared" si="31"/>
        <v>2024</v>
      </c>
      <c r="L101" s="53">
        <f t="shared" si="31"/>
        <v>2025</v>
      </c>
      <c r="M101" s="53">
        <f t="shared" si="31"/>
        <v>2026</v>
      </c>
      <c r="N101" s="53">
        <f t="shared" si="31"/>
        <v>2027</v>
      </c>
      <c r="O101" s="53">
        <f t="shared" si="31"/>
        <v>2028</v>
      </c>
      <c r="P101" s="53">
        <f t="shared" si="31"/>
        <v>2029</v>
      </c>
      <c r="Q101" s="53">
        <f t="shared" si="31"/>
        <v>2030</v>
      </c>
      <c r="R101" s="53">
        <f t="shared" si="31"/>
        <v>2031</v>
      </c>
      <c r="S101" s="53">
        <f t="shared" si="31"/>
        <v>2032</v>
      </c>
      <c r="T101" s="53">
        <f t="shared" si="31"/>
        <v>2033</v>
      </c>
      <c r="U101" s="53">
        <f t="shared" si="31"/>
        <v>2034</v>
      </c>
      <c r="V101" s="53">
        <f t="shared" si="31"/>
        <v>2035</v>
      </c>
      <c r="W101" s="53">
        <f t="shared" si="31"/>
        <v>2036</v>
      </c>
      <c r="X101" s="53">
        <f t="shared" si="31"/>
        <v>2037</v>
      </c>
      <c r="Y101" s="53">
        <f t="shared" si="31"/>
        <v>2038</v>
      </c>
      <c r="Z101" s="53">
        <f t="shared" si="31"/>
        <v>2039</v>
      </c>
      <c r="AA101" s="53">
        <f t="shared" si="31"/>
        <v>2040</v>
      </c>
    </row>
    <row r="102" spans="2:27" ht="36" x14ac:dyDescent="0.35">
      <c r="B102" s="304" t="s">
        <v>153</v>
      </c>
      <c r="C102" s="218" t="e">
        <f>((C42*365*C$54/3600)*$C$93*$D$93)+(C46*365*C$55/3600)*$C$94*$D$93</f>
        <v>#DIV/0!</v>
      </c>
      <c r="D102" s="218" t="e">
        <f t="shared" ref="D102:AA102" si="32">((D42*365*D$54/3600)*$C$93*$D$93)+(D46*365*D$55/3600)*$C$94*$D$93</f>
        <v>#DIV/0!</v>
      </c>
      <c r="E102" s="218" t="e">
        <f t="shared" si="32"/>
        <v>#DIV/0!</v>
      </c>
      <c r="F102" s="218" t="e">
        <f t="shared" si="32"/>
        <v>#DIV/0!</v>
      </c>
      <c r="G102" s="218" t="e">
        <f t="shared" si="32"/>
        <v>#DIV/0!</v>
      </c>
      <c r="H102" s="218" t="e">
        <f t="shared" si="32"/>
        <v>#DIV/0!</v>
      </c>
      <c r="I102" s="218" t="e">
        <f t="shared" si="32"/>
        <v>#DIV/0!</v>
      </c>
      <c r="J102" s="218" t="e">
        <f t="shared" si="32"/>
        <v>#DIV/0!</v>
      </c>
      <c r="K102" s="218" t="e">
        <f t="shared" si="32"/>
        <v>#DIV/0!</v>
      </c>
      <c r="L102" s="218" t="e">
        <f t="shared" si="32"/>
        <v>#DIV/0!</v>
      </c>
      <c r="M102" s="218" t="e">
        <f t="shared" si="32"/>
        <v>#DIV/0!</v>
      </c>
      <c r="N102" s="218" t="e">
        <f t="shared" si="32"/>
        <v>#DIV/0!</v>
      </c>
      <c r="O102" s="218" t="e">
        <f t="shared" si="32"/>
        <v>#DIV/0!</v>
      </c>
      <c r="P102" s="218" t="e">
        <f t="shared" si="32"/>
        <v>#DIV/0!</v>
      </c>
      <c r="Q102" s="218" t="e">
        <f t="shared" si="32"/>
        <v>#DIV/0!</v>
      </c>
      <c r="R102" s="218" t="e">
        <f t="shared" si="32"/>
        <v>#DIV/0!</v>
      </c>
      <c r="S102" s="218" t="e">
        <f t="shared" si="32"/>
        <v>#DIV/0!</v>
      </c>
      <c r="T102" s="218" t="e">
        <f t="shared" si="32"/>
        <v>#DIV/0!</v>
      </c>
      <c r="U102" s="218" t="e">
        <f t="shared" si="32"/>
        <v>#DIV/0!</v>
      </c>
      <c r="V102" s="218" t="e">
        <f t="shared" si="32"/>
        <v>#DIV/0!</v>
      </c>
      <c r="W102" s="218" t="e">
        <f t="shared" si="32"/>
        <v>#DIV/0!</v>
      </c>
      <c r="X102" s="218" t="e">
        <f t="shared" si="32"/>
        <v>#DIV/0!</v>
      </c>
      <c r="Y102" s="218" t="e">
        <f t="shared" si="32"/>
        <v>#DIV/0!</v>
      </c>
      <c r="Z102" s="218" t="e">
        <f t="shared" si="32"/>
        <v>#DIV/0!</v>
      </c>
      <c r="AA102" s="218" t="e">
        <f t="shared" si="32"/>
        <v>#DIV/0!</v>
      </c>
    </row>
    <row r="103" spans="2:27" ht="36" x14ac:dyDescent="0.35">
      <c r="B103" s="304" t="s">
        <v>156</v>
      </c>
      <c r="C103" s="218" t="e">
        <f>C97-C102</f>
        <v>#DIV/0!</v>
      </c>
      <c r="D103" s="218" t="e">
        <f t="shared" ref="D103:AA103" si="33">D97-D102</f>
        <v>#DIV/0!</v>
      </c>
      <c r="E103" s="218" t="e">
        <f t="shared" si="33"/>
        <v>#DIV/0!</v>
      </c>
      <c r="F103" s="218" t="e">
        <f t="shared" si="33"/>
        <v>#DIV/0!</v>
      </c>
      <c r="G103" s="218" t="e">
        <f t="shared" si="33"/>
        <v>#DIV/0!</v>
      </c>
      <c r="H103" s="218" t="e">
        <f t="shared" si="33"/>
        <v>#DIV/0!</v>
      </c>
      <c r="I103" s="218" t="e">
        <f t="shared" si="33"/>
        <v>#DIV/0!</v>
      </c>
      <c r="J103" s="218" t="e">
        <f t="shared" si="33"/>
        <v>#DIV/0!</v>
      </c>
      <c r="K103" s="218" t="e">
        <f t="shared" si="33"/>
        <v>#DIV/0!</v>
      </c>
      <c r="L103" s="218" t="e">
        <f t="shared" si="33"/>
        <v>#DIV/0!</v>
      </c>
      <c r="M103" s="218" t="e">
        <f t="shared" si="33"/>
        <v>#DIV/0!</v>
      </c>
      <c r="N103" s="218" t="e">
        <f t="shared" si="33"/>
        <v>#DIV/0!</v>
      </c>
      <c r="O103" s="218" t="e">
        <f t="shared" si="33"/>
        <v>#DIV/0!</v>
      </c>
      <c r="P103" s="218" t="e">
        <f t="shared" si="33"/>
        <v>#DIV/0!</v>
      </c>
      <c r="Q103" s="218" t="e">
        <f t="shared" si="33"/>
        <v>#DIV/0!</v>
      </c>
      <c r="R103" s="218" t="e">
        <f t="shared" si="33"/>
        <v>#DIV/0!</v>
      </c>
      <c r="S103" s="218" t="e">
        <f t="shared" si="33"/>
        <v>#DIV/0!</v>
      </c>
      <c r="T103" s="218" t="e">
        <f t="shared" si="33"/>
        <v>#DIV/0!</v>
      </c>
      <c r="U103" s="218" t="e">
        <f t="shared" si="33"/>
        <v>#DIV/0!</v>
      </c>
      <c r="V103" s="218" t="e">
        <f t="shared" si="33"/>
        <v>#DIV/0!</v>
      </c>
      <c r="W103" s="218" t="e">
        <f t="shared" si="33"/>
        <v>#DIV/0!</v>
      </c>
      <c r="X103" s="218" t="e">
        <f t="shared" si="33"/>
        <v>#DIV/0!</v>
      </c>
      <c r="Y103" s="218" t="e">
        <f t="shared" si="33"/>
        <v>#DIV/0!</v>
      </c>
      <c r="Z103" s="218" t="e">
        <f t="shared" si="33"/>
        <v>#DIV/0!</v>
      </c>
      <c r="AA103" s="218" t="e">
        <f t="shared" si="33"/>
        <v>#DIV/0!</v>
      </c>
    </row>
    <row r="104" spans="2:27" ht="3" customHeight="1" x14ac:dyDescent="0.25">
      <c r="B104" s="95"/>
    </row>
    <row r="105" spans="2:27" ht="30" x14ac:dyDescent="0.25">
      <c r="B105" s="260" t="s">
        <v>234</v>
      </c>
      <c r="C105" s="214"/>
      <c r="D105" s="214"/>
      <c r="E105" s="214"/>
    </row>
    <row r="106" spans="2:27" ht="30" customHeight="1" x14ac:dyDescent="0.25">
      <c r="B106" s="461" t="s">
        <v>416</v>
      </c>
      <c r="C106" s="544" t="s">
        <v>417</v>
      </c>
      <c r="D106" s="544"/>
      <c r="E106" s="544"/>
    </row>
    <row r="107" spans="2:27" x14ac:dyDescent="0.25">
      <c r="B107" s="95"/>
    </row>
    <row r="108" spans="2:27" ht="53.25" customHeight="1" x14ac:dyDescent="0.25">
      <c r="B108" s="555" t="s">
        <v>303</v>
      </c>
      <c r="C108" s="555"/>
      <c r="D108" s="555"/>
    </row>
    <row r="109" spans="2:27" ht="75" customHeight="1" x14ac:dyDescent="0.25">
      <c r="B109" s="202" t="s">
        <v>304</v>
      </c>
      <c r="C109" s="199" t="s">
        <v>154</v>
      </c>
    </row>
    <row r="110" spans="2:27" x14ac:dyDescent="0.25">
      <c r="B110" s="303" t="s">
        <v>132</v>
      </c>
      <c r="C110" s="448"/>
    </row>
    <row r="111" spans="2:27" x14ac:dyDescent="0.25">
      <c r="B111" s="303" t="s">
        <v>133</v>
      </c>
      <c r="C111" s="448"/>
    </row>
    <row r="112" spans="2:27" x14ac:dyDescent="0.25">
      <c r="B112" s="303" t="s">
        <v>134</v>
      </c>
      <c r="C112" s="448"/>
    </row>
    <row r="113" spans="2:27" x14ac:dyDescent="0.25">
      <c r="B113" s="195"/>
      <c r="C113" s="201"/>
    </row>
    <row r="114" spans="2:27" ht="30" x14ac:dyDescent="0.25">
      <c r="B114" s="299" t="s">
        <v>130</v>
      </c>
      <c r="C114" s="309">
        <f t="shared" ref="C114:AA114" si="34">C96</f>
        <v>2016</v>
      </c>
      <c r="D114" s="309">
        <f t="shared" si="34"/>
        <v>2017</v>
      </c>
      <c r="E114" s="309">
        <f t="shared" si="34"/>
        <v>2018</v>
      </c>
      <c r="F114" s="309">
        <f t="shared" si="34"/>
        <v>2019</v>
      </c>
      <c r="G114" s="309">
        <f t="shared" si="34"/>
        <v>2020</v>
      </c>
      <c r="H114" s="309">
        <f t="shared" si="34"/>
        <v>2021</v>
      </c>
      <c r="I114" s="309">
        <f t="shared" si="34"/>
        <v>2022</v>
      </c>
      <c r="J114" s="309">
        <f t="shared" si="34"/>
        <v>2023</v>
      </c>
      <c r="K114" s="309">
        <f t="shared" si="34"/>
        <v>2024</v>
      </c>
      <c r="L114" s="309">
        <f t="shared" si="34"/>
        <v>2025</v>
      </c>
      <c r="M114" s="309">
        <f t="shared" si="34"/>
        <v>2026</v>
      </c>
      <c r="N114" s="309">
        <f t="shared" si="34"/>
        <v>2027</v>
      </c>
      <c r="O114" s="309">
        <f t="shared" si="34"/>
        <v>2028</v>
      </c>
      <c r="P114" s="309">
        <f t="shared" si="34"/>
        <v>2029</v>
      </c>
      <c r="Q114" s="309">
        <f t="shared" si="34"/>
        <v>2030</v>
      </c>
      <c r="R114" s="309">
        <f t="shared" si="34"/>
        <v>2031</v>
      </c>
      <c r="S114" s="309">
        <f t="shared" si="34"/>
        <v>2032</v>
      </c>
      <c r="T114" s="309">
        <f t="shared" si="34"/>
        <v>2033</v>
      </c>
      <c r="U114" s="309">
        <f t="shared" si="34"/>
        <v>2034</v>
      </c>
      <c r="V114" s="309">
        <f t="shared" si="34"/>
        <v>2035</v>
      </c>
      <c r="W114" s="309">
        <f t="shared" si="34"/>
        <v>2036</v>
      </c>
      <c r="X114" s="309">
        <f t="shared" si="34"/>
        <v>2037</v>
      </c>
      <c r="Y114" s="309">
        <f t="shared" si="34"/>
        <v>2038</v>
      </c>
      <c r="Z114" s="309">
        <f t="shared" si="34"/>
        <v>2039</v>
      </c>
      <c r="AA114" s="309">
        <f t="shared" si="34"/>
        <v>2040</v>
      </c>
    </row>
    <row r="115" spans="2:27" ht="36" x14ac:dyDescent="0.35">
      <c r="B115" s="306" t="s">
        <v>158</v>
      </c>
      <c r="C115" s="200" t="e">
        <f t="shared" ref="C115:AA115" si="35">((C17*365*C$27/3600)*$C$110)+((C18*365*C$28/3600)*$C$111)+((C19*365*C$28/3600)*$C$112)</f>
        <v>#DIV/0!</v>
      </c>
      <c r="D115" s="200" t="e">
        <f t="shared" si="35"/>
        <v>#DIV/0!</v>
      </c>
      <c r="E115" s="200" t="e">
        <f t="shared" si="35"/>
        <v>#DIV/0!</v>
      </c>
      <c r="F115" s="200" t="e">
        <f t="shared" si="35"/>
        <v>#DIV/0!</v>
      </c>
      <c r="G115" s="200" t="e">
        <f t="shared" si="35"/>
        <v>#DIV/0!</v>
      </c>
      <c r="H115" s="200" t="e">
        <f t="shared" si="35"/>
        <v>#DIV/0!</v>
      </c>
      <c r="I115" s="200" t="e">
        <f t="shared" si="35"/>
        <v>#DIV/0!</v>
      </c>
      <c r="J115" s="200" t="e">
        <f t="shared" si="35"/>
        <v>#DIV/0!</v>
      </c>
      <c r="K115" s="200" t="e">
        <f t="shared" si="35"/>
        <v>#DIV/0!</v>
      </c>
      <c r="L115" s="200" t="e">
        <f t="shared" si="35"/>
        <v>#DIV/0!</v>
      </c>
      <c r="M115" s="200" t="e">
        <f t="shared" si="35"/>
        <v>#DIV/0!</v>
      </c>
      <c r="N115" s="200" t="e">
        <f t="shared" si="35"/>
        <v>#DIV/0!</v>
      </c>
      <c r="O115" s="200" t="e">
        <f t="shared" si="35"/>
        <v>#DIV/0!</v>
      </c>
      <c r="P115" s="200" t="e">
        <f t="shared" si="35"/>
        <v>#DIV/0!</v>
      </c>
      <c r="Q115" s="200" t="e">
        <f t="shared" si="35"/>
        <v>#DIV/0!</v>
      </c>
      <c r="R115" s="200" t="e">
        <f t="shared" si="35"/>
        <v>#DIV/0!</v>
      </c>
      <c r="S115" s="200" t="e">
        <f t="shared" si="35"/>
        <v>#DIV/0!</v>
      </c>
      <c r="T115" s="200" t="e">
        <f t="shared" si="35"/>
        <v>#DIV/0!</v>
      </c>
      <c r="U115" s="200" t="e">
        <f t="shared" si="35"/>
        <v>#DIV/0!</v>
      </c>
      <c r="V115" s="200" t="e">
        <f t="shared" si="35"/>
        <v>#DIV/0!</v>
      </c>
      <c r="W115" s="200" t="e">
        <f t="shared" si="35"/>
        <v>#DIV/0!</v>
      </c>
      <c r="X115" s="200" t="e">
        <f t="shared" si="35"/>
        <v>#DIV/0!</v>
      </c>
      <c r="Y115" s="200" t="e">
        <f t="shared" si="35"/>
        <v>#DIV/0!</v>
      </c>
      <c r="Z115" s="200" t="e">
        <f t="shared" si="35"/>
        <v>#DIV/0!</v>
      </c>
      <c r="AA115" s="200" t="e">
        <f t="shared" si="35"/>
        <v>#DIV/0!</v>
      </c>
    </row>
    <row r="116" spans="2:27" x14ac:dyDescent="0.25">
      <c r="B116" s="95"/>
    </row>
    <row r="117" spans="2:27" ht="34.5" customHeight="1" x14ac:dyDescent="0.25">
      <c r="B117" s="551" t="s">
        <v>305</v>
      </c>
      <c r="C117" s="551"/>
      <c r="D117" s="551"/>
    </row>
    <row r="118" spans="2:27" ht="30" x14ac:dyDescent="0.25">
      <c r="B118" s="299" t="s">
        <v>130</v>
      </c>
      <c r="C118" s="309">
        <f t="shared" ref="C118:AA118" si="36">C114</f>
        <v>2016</v>
      </c>
      <c r="D118" s="309">
        <f t="shared" si="36"/>
        <v>2017</v>
      </c>
      <c r="E118" s="309">
        <f t="shared" si="36"/>
        <v>2018</v>
      </c>
      <c r="F118" s="309">
        <f t="shared" si="36"/>
        <v>2019</v>
      </c>
      <c r="G118" s="309">
        <f t="shared" si="36"/>
        <v>2020</v>
      </c>
      <c r="H118" s="309">
        <f t="shared" si="36"/>
        <v>2021</v>
      </c>
      <c r="I118" s="309">
        <f t="shared" si="36"/>
        <v>2022</v>
      </c>
      <c r="J118" s="309">
        <f t="shared" si="36"/>
        <v>2023</v>
      </c>
      <c r="K118" s="309">
        <f t="shared" si="36"/>
        <v>2024</v>
      </c>
      <c r="L118" s="309">
        <f t="shared" si="36"/>
        <v>2025</v>
      </c>
      <c r="M118" s="309">
        <f t="shared" si="36"/>
        <v>2026</v>
      </c>
      <c r="N118" s="309">
        <f t="shared" si="36"/>
        <v>2027</v>
      </c>
      <c r="O118" s="309">
        <f t="shared" si="36"/>
        <v>2028</v>
      </c>
      <c r="P118" s="309">
        <f t="shared" si="36"/>
        <v>2029</v>
      </c>
      <c r="Q118" s="309">
        <f t="shared" si="36"/>
        <v>2030</v>
      </c>
      <c r="R118" s="309">
        <f t="shared" si="36"/>
        <v>2031</v>
      </c>
      <c r="S118" s="309">
        <f t="shared" si="36"/>
        <v>2032</v>
      </c>
      <c r="T118" s="309">
        <f t="shared" si="36"/>
        <v>2033</v>
      </c>
      <c r="U118" s="309">
        <f t="shared" si="36"/>
        <v>2034</v>
      </c>
      <c r="V118" s="309">
        <f t="shared" si="36"/>
        <v>2035</v>
      </c>
      <c r="W118" s="309">
        <f t="shared" si="36"/>
        <v>2036</v>
      </c>
      <c r="X118" s="309">
        <f t="shared" si="36"/>
        <v>2037</v>
      </c>
      <c r="Y118" s="309">
        <f t="shared" si="36"/>
        <v>2038</v>
      </c>
      <c r="Z118" s="309">
        <f t="shared" si="36"/>
        <v>2039</v>
      </c>
      <c r="AA118" s="309">
        <f t="shared" si="36"/>
        <v>2040</v>
      </c>
    </row>
    <row r="119" spans="2:27" ht="36" x14ac:dyDescent="0.35">
      <c r="B119" s="306" t="s">
        <v>155</v>
      </c>
      <c r="C119" s="200" t="e">
        <f>((C43*365*C$54/3600)*$C$110)+((C44*365*C$55/3600)*$C$111)+((C45*365*C$28/3600)*$C$112)</f>
        <v>#DIV/0!</v>
      </c>
      <c r="D119" s="200" t="e">
        <f t="shared" ref="D119:AA119" si="37">((D43*365*D$54/3600)*$C$110)+((D44*365*D$55/3600)*$C$111)+((D45*365*D$28/3600)*$C$112)</f>
        <v>#DIV/0!</v>
      </c>
      <c r="E119" s="200" t="e">
        <f t="shared" si="37"/>
        <v>#DIV/0!</v>
      </c>
      <c r="F119" s="200" t="e">
        <f t="shared" si="37"/>
        <v>#DIV/0!</v>
      </c>
      <c r="G119" s="200" t="e">
        <f t="shared" si="37"/>
        <v>#DIV/0!</v>
      </c>
      <c r="H119" s="200" t="e">
        <f t="shared" si="37"/>
        <v>#DIV/0!</v>
      </c>
      <c r="I119" s="200" t="e">
        <f t="shared" si="37"/>
        <v>#DIV/0!</v>
      </c>
      <c r="J119" s="200" t="e">
        <f t="shared" si="37"/>
        <v>#DIV/0!</v>
      </c>
      <c r="K119" s="200" t="e">
        <f t="shared" si="37"/>
        <v>#DIV/0!</v>
      </c>
      <c r="L119" s="200" t="e">
        <f t="shared" si="37"/>
        <v>#DIV/0!</v>
      </c>
      <c r="M119" s="200" t="e">
        <f t="shared" si="37"/>
        <v>#DIV/0!</v>
      </c>
      <c r="N119" s="200" t="e">
        <f t="shared" si="37"/>
        <v>#DIV/0!</v>
      </c>
      <c r="O119" s="200" t="e">
        <f t="shared" si="37"/>
        <v>#DIV/0!</v>
      </c>
      <c r="P119" s="200" t="e">
        <f t="shared" si="37"/>
        <v>#DIV/0!</v>
      </c>
      <c r="Q119" s="200" t="e">
        <f t="shared" si="37"/>
        <v>#DIV/0!</v>
      </c>
      <c r="R119" s="200" t="e">
        <f t="shared" si="37"/>
        <v>#DIV/0!</v>
      </c>
      <c r="S119" s="200" t="e">
        <f t="shared" si="37"/>
        <v>#DIV/0!</v>
      </c>
      <c r="T119" s="200" t="e">
        <f t="shared" si="37"/>
        <v>#DIV/0!</v>
      </c>
      <c r="U119" s="200" t="e">
        <f t="shared" si="37"/>
        <v>#DIV/0!</v>
      </c>
      <c r="V119" s="200" t="e">
        <f t="shared" si="37"/>
        <v>#DIV/0!</v>
      </c>
      <c r="W119" s="200" t="e">
        <f t="shared" si="37"/>
        <v>#DIV/0!</v>
      </c>
      <c r="X119" s="200" t="e">
        <f t="shared" si="37"/>
        <v>#DIV/0!</v>
      </c>
      <c r="Y119" s="200" t="e">
        <f t="shared" si="37"/>
        <v>#DIV/0!</v>
      </c>
      <c r="Z119" s="200" t="e">
        <f t="shared" si="37"/>
        <v>#DIV/0!</v>
      </c>
      <c r="AA119" s="200" t="e">
        <f t="shared" si="37"/>
        <v>#DIV/0!</v>
      </c>
    </row>
    <row r="120" spans="2:27" ht="36" x14ac:dyDescent="0.35">
      <c r="B120" s="304" t="s">
        <v>157</v>
      </c>
      <c r="C120" s="218" t="e">
        <f>C115-C119</f>
        <v>#DIV/0!</v>
      </c>
      <c r="D120" s="218" t="e">
        <f t="shared" ref="D120:AA120" si="38">D115-D119</f>
        <v>#DIV/0!</v>
      </c>
      <c r="E120" s="218" t="e">
        <f t="shared" si="38"/>
        <v>#DIV/0!</v>
      </c>
      <c r="F120" s="218" t="e">
        <f t="shared" si="38"/>
        <v>#DIV/0!</v>
      </c>
      <c r="G120" s="218" t="e">
        <f t="shared" si="38"/>
        <v>#DIV/0!</v>
      </c>
      <c r="H120" s="218" t="e">
        <f t="shared" si="38"/>
        <v>#DIV/0!</v>
      </c>
      <c r="I120" s="218" t="e">
        <f t="shared" si="38"/>
        <v>#DIV/0!</v>
      </c>
      <c r="J120" s="218" t="e">
        <f t="shared" si="38"/>
        <v>#DIV/0!</v>
      </c>
      <c r="K120" s="218" t="e">
        <f t="shared" si="38"/>
        <v>#DIV/0!</v>
      </c>
      <c r="L120" s="218" t="e">
        <f t="shared" si="38"/>
        <v>#DIV/0!</v>
      </c>
      <c r="M120" s="218" t="e">
        <f t="shared" si="38"/>
        <v>#DIV/0!</v>
      </c>
      <c r="N120" s="218" t="e">
        <f t="shared" si="38"/>
        <v>#DIV/0!</v>
      </c>
      <c r="O120" s="218" t="e">
        <f t="shared" si="38"/>
        <v>#DIV/0!</v>
      </c>
      <c r="P120" s="218" t="e">
        <f t="shared" si="38"/>
        <v>#DIV/0!</v>
      </c>
      <c r="Q120" s="218" t="e">
        <f t="shared" si="38"/>
        <v>#DIV/0!</v>
      </c>
      <c r="R120" s="218" t="e">
        <f t="shared" si="38"/>
        <v>#DIV/0!</v>
      </c>
      <c r="S120" s="218" t="e">
        <f t="shared" si="38"/>
        <v>#DIV/0!</v>
      </c>
      <c r="T120" s="218" t="e">
        <f t="shared" si="38"/>
        <v>#DIV/0!</v>
      </c>
      <c r="U120" s="218" t="e">
        <f t="shared" si="38"/>
        <v>#DIV/0!</v>
      </c>
      <c r="V120" s="218" t="e">
        <f t="shared" si="38"/>
        <v>#DIV/0!</v>
      </c>
      <c r="W120" s="218" t="e">
        <f t="shared" si="38"/>
        <v>#DIV/0!</v>
      </c>
      <c r="X120" s="218" t="e">
        <f t="shared" si="38"/>
        <v>#DIV/0!</v>
      </c>
      <c r="Y120" s="218" t="e">
        <f t="shared" si="38"/>
        <v>#DIV/0!</v>
      </c>
      <c r="Z120" s="218" t="e">
        <f t="shared" si="38"/>
        <v>#DIV/0!</v>
      </c>
      <c r="AA120" s="218" t="e">
        <f t="shared" si="38"/>
        <v>#DIV/0!</v>
      </c>
    </row>
    <row r="121" spans="2:27" ht="3" customHeight="1" x14ac:dyDescent="0.25">
      <c r="B121" s="95"/>
    </row>
    <row r="122" spans="2:27" ht="30" x14ac:dyDescent="0.25">
      <c r="B122" s="260" t="s">
        <v>234</v>
      </c>
      <c r="C122" s="214"/>
      <c r="D122" s="214"/>
      <c r="E122" s="214"/>
    </row>
    <row r="123" spans="2:27" ht="30" customHeight="1" x14ac:dyDescent="0.25">
      <c r="B123" s="461" t="s">
        <v>418</v>
      </c>
      <c r="C123" s="544" t="s">
        <v>417</v>
      </c>
      <c r="D123" s="544"/>
      <c r="E123" s="544"/>
    </row>
    <row r="124" spans="2:27" x14ac:dyDescent="0.25">
      <c r="B124" s="95"/>
    </row>
    <row r="125" spans="2:27" ht="36.75" customHeight="1" x14ac:dyDescent="0.25">
      <c r="B125" s="551" t="s">
        <v>306</v>
      </c>
      <c r="C125" s="551"/>
      <c r="D125" s="551"/>
    </row>
    <row r="126" spans="2:27" ht="67.5" x14ac:dyDescent="0.25">
      <c r="B126" s="305" t="s">
        <v>159</v>
      </c>
      <c r="C126" s="71" t="s">
        <v>160</v>
      </c>
      <c r="D126" s="71" t="s">
        <v>161</v>
      </c>
      <c r="F126" s="434" t="s">
        <v>404</v>
      </c>
      <c r="G126" s="308" t="s">
        <v>308</v>
      </c>
      <c r="H126" s="207" t="s">
        <v>168</v>
      </c>
      <c r="I126" s="14"/>
    </row>
    <row r="127" spans="2:27" ht="30" x14ac:dyDescent="0.25">
      <c r="B127" s="283" t="s">
        <v>162</v>
      </c>
      <c r="C127" s="394"/>
      <c r="D127" s="203">
        <f>IF(C127="tak / 
áno",1.5,1)</f>
        <v>1</v>
      </c>
      <c r="F127" s="434" t="s">
        <v>388</v>
      </c>
      <c r="G127" s="85" t="s">
        <v>31</v>
      </c>
      <c r="H127" s="206">
        <v>0.1</v>
      </c>
    </row>
    <row r="128" spans="2:27" ht="30" customHeight="1" x14ac:dyDescent="0.25">
      <c r="B128" s="283" t="s">
        <v>307</v>
      </c>
      <c r="C128" s="394"/>
      <c r="D128" s="203">
        <f t="shared" ref="D128:D130" si="39">IF(C128="tak / 
áno",1.5,1)</f>
        <v>1</v>
      </c>
      <c r="F128" s="450" t="s">
        <v>8</v>
      </c>
      <c r="G128" s="85">
        <v>1000</v>
      </c>
      <c r="H128" s="206">
        <v>0.3</v>
      </c>
    </row>
    <row r="129" spans="1:28" ht="30" x14ac:dyDescent="0.25">
      <c r="B129" s="283" t="s">
        <v>163</v>
      </c>
      <c r="C129" s="394"/>
      <c r="D129" s="203">
        <f t="shared" si="39"/>
        <v>1</v>
      </c>
      <c r="F129" s="3"/>
      <c r="G129" s="85">
        <v>5000</v>
      </c>
      <c r="H129" s="206">
        <v>0.7</v>
      </c>
    </row>
    <row r="130" spans="1:28" ht="30" x14ac:dyDescent="0.25">
      <c r="B130" s="283" t="s">
        <v>164</v>
      </c>
      <c r="C130" s="394"/>
      <c r="D130" s="203">
        <f t="shared" si="39"/>
        <v>1</v>
      </c>
      <c r="F130" s="67"/>
      <c r="G130" s="85" t="s">
        <v>32</v>
      </c>
      <c r="H130" s="206">
        <v>1.2</v>
      </c>
    </row>
    <row r="131" spans="1:28" ht="30" customHeight="1" x14ac:dyDescent="0.25">
      <c r="B131" s="556" t="s">
        <v>165</v>
      </c>
      <c r="C131" s="557"/>
      <c r="D131" s="394"/>
    </row>
    <row r="132" spans="1:28" ht="30" x14ac:dyDescent="0.25">
      <c r="B132" s="307" t="s">
        <v>167</v>
      </c>
      <c r="C132" s="213">
        <f>Założenia_Predpoklady!$C$22</f>
        <v>0</v>
      </c>
      <c r="D132" s="203" t="e">
        <f>1+((7/C132-1)/2)</f>
        <v>#DIV/0!</v>
      </c>
    </row>
    <row r="133" spans="1:28" ht="31.5" customHeight="1" x14ac:dyDescent="0.25">
      <c r="B133" s="524" t="s">
        <v>310</v>
      </c>
      <c r="C133" s="554"/>
      <c r="D133" s="120" t="e">
        <f>D127*D128*D129*D130*D131*D132</f>
        <v>#DIV/0!</v>
      </c>
    </row>
    <row r="134" spans="1:28" x14ac:dyDescent="0.25">
      <c r="B134" s="95"/>
      <c r="C134" s="102"/>
      <c r="D134" s="102"/>
    </row>
    <row r="135" spans="1:28" ht="30" x14ac:dyDescent="0.25">
      <c r="B135" s="299" t="s">
        <v>130</v>
      </c>
      <c r="C135" s="71" t="s">
        <v>172</v>
      </c>
      <c r="D135" s="102"/>
    </row>
    <row r="136" spans="1:28" ht="30" x14ac:dyDescent="0.25">
      <c r="B136" s="211" t="s">
        <v>169</v>
      </c>
      <c r="C136" s="449"/>
      <c r="D136" s="102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</row>
    <row r="137" spans="1:28" x14ac:dyDescent="0.25">
      <c r="B137" s="95"/>
      <c r="C137" s="102"/>
      <c r="D137" s="102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</row>
    <row r="138" spans="1:28" ht="30" x14ac:dyDescent="0.25">
      <c r="B138" s="299" t="s">
        <v>130</v>
      </c>
      <c r="C138" s="309">
        <f t="shared" ref="C138:AA138" si="40">C15</f>
        <v>2016</v>
      </c>
      <c r="D138" s="309">
        <f t="shared" si="40"/>
        <v>2017</v>
      </c>
      <c r="E138" s="309">
        <f t="shared" si="40"/>
        <v>2018</v>
      </c>
      <c r="F138" s="309">
        <f t="shared" si="40"/>
        <v>2019</v>
      </c>
      <c r="G138" s="309">
        <f t="shared" si="40"/>
        <v>2020</v>
      </c>
      <c r="H138" s="309">
        <f t="shared" si="40"/>
        <v>2021</v>
      </c>
      <c r="I138" s="309">
        <f t="shared" si="40"/>
        <v>2022</v>
      </c>
      <c r="J138" s="309">
        <f t="shared" si="40"/>
        <v>2023</v>
      </c>
      <c r="K138" s="309">
        <f t="shared" si="40"/>
        <v>2024</v>
      </c>
      <c r="L138" s="309">
        <f t="shared" si="40"/>
        <v>2025</v>
      </c>
      <c r="M138" s="309">
        <f t="shared" si="40"/>
        <v>2026</v>
      </c>
      <c r="N138" s="309">
        <f t="shared" si="40"/>
        <v>2027</v>
      </c>
      <c r="O138" s="309">
        <f t="shared" si="40"/>
        <v>2028</v>
      </c>
      <c r="P138" s="309">
        <f t="shared" si="40"/>
        <v>2029</v>
      </c>
      <c r="Q138" s="309">
        <f t="shared" si="40"/>
        <v>2030</v>
      </c>
      <c r="R138" s="309">
        <f t="shared" si="40"/>
        <v>2031</v>
      </c>
      <c r="S138" s="309">
        <f t="shared" si="40"/>
        <v>2032</v>
      </c>
      <c r="T138" s="309">
        <f t="shared" si="40"/>
        <v>2033</v>
      </c>
      <c r="U138" s="309">
        <f t="shared" si="40"/>
        <v>2034</v>
      </c>
      <c r="V138" s="309">
        <f t="shared" si="40"/>
        <v>2035</v>
      </c>
      <c r="W138" s="309">
        <f t="shared" si="40"/>
        <v>2036</v>
      </c>
      <c r="X138" s="309">
        <f t="shared" si="40"/>
        <v>2037</v>
      </c>
      <c r="Y138" s="309">
        <f t="shared" si="40"/>
        <v>2038</v>
      </c>
      <c r="Z138" s="309">
        <f t="shared" si="40"/>
        <v>2039</v>
      </c>
      <c r="AA138" s="309">
        <f t="shared" si="40"/>
        <v>2040</v>
      </c>
    </row>
    <row r="139" spans="1:28" ht="30" x14ac:dyDescent="0.25">
      <c r="B139" s="211" t="s">
        <v>176</v>
      </c>
      <c r="C139" s="204" t="e">
        <f t="shared" ref="C139:AA139" si="41">IF(C21&lt;$G$127,$H$127,IF(C21&lt;$G$128,$H$128,IF(C21&lt;$G$129,$H$129,$H$130)))*$D$133*C22/1000</f>
        <v>#DIV/0!</v>
      </c>
      <c r="D139" s="204" t="e">
        <f t="shared" si="41"/>
        <v>#DIV/0!</v>
      </c>
      <c r="E139" s="204" t="e">
        <f t="shared" si="41"/>
        <v>#DIV/0!</v>
      </c>
      <c r="F139" s="204" t="e">
        <f t="shared" si="41"/>
        <v>#DIV/0!</v>
      </c>
      <c r="G139" s="204" t="e">
        <f t="shared" si="41"/>
        <v>#DIV/0!</v>
      </c>
      <c r="H139" s="204" t="e">
        <f t="shared" si="41"/>
        <v>#DIV/0!</v>
      </c>
      <c r="I139" s="204" t="e">
        <f t="shared" si="41"/>
        <v>#DIV/0!</v>
      </c>
      <c r="J139" s="204" t="e">
        <f t="shared" si="41"/>
        <v>#DIV/0!</v>
      </c>
      <c r="K139" s="204" t="e">
        <f t="shared" si="41"/>
        <v>#DIV/0!</v>
      </c>
      <c r="L139" s="204" t="e">
        <f t="shared" si="41"/>
        <v>#DIV/0!</v>
      </c>
      <c r="M139" s="204" t="e">
        <f t="shared" si="41"/>
        <v>#DIV/0!</v>
      </c>
      <c r="N139" s="204" t="e">
        <f t="shared" si="41"/>
        <v>#DIV/0!</v>
      </c>
      <c r="O139" s="204" t="e">
        <f t="shared" si="41"/>
        <v>#DIV/0!</v>
      </c>
      <c r="P139" s="204" t="e">
        <f t="shared" si="41"/>
        <v>#DIV/0!</v>
      </c>
      <c r="Q139" s="204" t="e">
        <f t="shared" si="41"/>
        <v>#DIV/0!</v>
      </c>
      <c r="R139" s="204" t="e">
        <f t="shared" si="41"/>
        <v>#DIV/0!</v>
      </c>
      <c r="S139" s="204" t="e">
        <f t="shared" si="41"/>
        <v>#DIV/0!</v>
      </c>
      <c r="T139" s="204" t="e">
        <f t="shared" si="41"/>
        <v>#DIV/0!</v>
      </c>
      <c r="U139" s="204" t="e">
        <f t="shared" si="41"/>
        <v>#DIV/0!</v>
      </c>
      <c r="V139" s="204" t="e">
        <f t="shared" si="41"/>
        <v>#DIV/0!</v>
      </c>
      <c r="W139" s="204" t="e">
        <f t="shared" si="41"/>
        <v>#DIV/0!</v>
      </c>
      <c r="X139" s="204" t="e">
        <f t="shared" si="41"/>
        <v>#DIV/0!</v>
      </c>
      <c r="Y139" s="204" t="e">
        <f t="shared" si="41"/>
        <v>#DIV/0!</v>
      </c>
      <c r="Z139" s="204" t="e">
        <f t="shared" si="41"/>
        <v>#DIV/0!</v>
      </c>
      <c r="AA139" s="204" t="e">
        <f t="shared" si="41"/>
        <v>#DIV/0!</v>
      </c>
    </row>
    <row r="140" spans="1:28" ht="30" x14ac:dyDescent="0.25">
      <c r="B140" s="211" t="s">
        <v>170</v>
      </c>
      <c r="C140" s="204" t="e">
        <f>SUM(C139:AA139)</f>
        <v>#DIV/0!</v>
      </c>
      <c r="D140" s="208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09"/>
      <c r="V140" s="209"/>
      <c r="W140" s="209"/>
      <c r="X140" s="209"/>
      <c r="Y140" s="209"/>
      <c r="Z140" s="209"/>
      <c r="AA140" s="209"/>
      <c r="AB140" s="1"/>
    </row>
    <row r="141" spans="1:28" ht="36" x14ac:dyDescent="0.35">
      <c r="B141" s="304" t="s">
        <v>171</v>
      </c>
      <c r="C141" s="205" t="e">
        <f>$C$136*C139</f>
        <v>#DIV/0!</v>
      </c>
      <c r="D141" s="205" t="e">
        <f t="shared" ref="D141:AA141" si="42">$C$136*D139</f>
        <v>#DIV/0!</v>
      </c>
      <c r="E141" s="205" t="e">
        <f t="shared" si="42"/>
        <v>#DIV/0!</v>
      </c>
      <c r="F141" s="205" t="e">
        <f t="shared" si="42"/>
        <v>#DIV/0!</v>
      </c>
      <c r="G141" s="205" t="e">
        <f t="shared" si="42"/>
        <v>#DIV/0!</v>
      </c>
      <c r="H141" s="205" t="e">
        <f t="shared" si="42"/>
        <v>#DIV/0!</v>
      </c>
      <c r="I141" s="205" t="e">
        <f t="shared" si="42"/>
        <v>#DIV/0!</v>
      </c>
      <c r="J141" s="205" t="e">
        <f t="shared" si="42"/>
        <v>#DIV/0!</v>
      </c>
      <c r="K141" s="205" t="e">
        <f t="shared" si="42"/>
        <v>#DIV/0!</v>
      </c>
      <c r="L141" s="205" t="e">
        <f t="shared" si="42"/>
        <v>#DIV/0!</v>
      </c>
      <c r="M141" s="205" t="e">
        <f t="shared" si="42"/>
        <v>#DIV/0!</v>
      </c>
      <c r="N141" s="205" t="e">
        <f t="shared" si="42"/>
        <v>#DIV/0!</v>
      </c>
      <c r="O141" s="205" t="e">
        <f t="shared" si="42"/>
        <v>#DIV/0!</v>
      </c>
      <c r="P141" s="205" t="e">
        <f t="shared" si="42"/>
        <v>#DIV/0!</v>
      </c>
      <c r="Q141" s="205" t="e">
        <f t="shared" si="42"/>
        <v>#DIV/0!</v>
      </c>
      <c r="R141" s="205" t="e">
        <f t="shared" si="42"/>
        <v>#DIV/0!</v>
      </c>
      <c r="S141" s="205" t="e">
        <f t="shared" si="42"/>
        <v>#DIV/0!</v>
      </c>
      <c r="T141" s="205" t="e">
        <f t="shared" si="42"/>
        <v>#DIV/0!</v>
      </c>
      <c r="U141" s="205" t="e">
        <f t="shared" si="42"/>
        <v>#DIV/0!</v>
      </c>
      <c r="V141" s="205" t="e">
        <f t="shared" si="42"/>
        <v>#DIV/0!</v>
      </c>
      <c r="W141" s="205" t="e">
        <f t="shared" si="42"/>
        <v>#DIV/0!</v>
      </c>
      <c r="X141" s="205" t="e">
        <f t="shared" si="42"/>
        <v>#DIV/0!</v>
      </c>
      <c r="Y141" s="205" t="e">
        <f t="shared" si="42"/>
        <v>#DIV/0!</v>
      </c>
      <c r="Z141" s="205" t="e">
        <f t="shared" si="42"/>
        <v>#DIV/0!</v>
      </c>
      <c r="AA141" s="205" t="e">
        <f t="shared" si="42"/>
        <v>#DIV/0!</v>
      </c>
    </row>
    <row r="142" spans="1:28" x14ac:dyDescent="0.25">
      <c r="B142" s="194"/>
      <c r="C142" s="220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</row>
    <row r="143" spans="1:28" ht="34.5" customHeight="1" x14ac:dyDescent="0.35">
      <c r="A143" s="12"/>
      <c r="B143" s="558" t="s">
        <v>309</v>
      </c>
      <c r="C143" s="558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</row>
    <row r="144" spans="1:28" ht="30" x14ac:dyDescent="0.25">
      <c r="B144" s="305" t="s">
        <v>159</v>
      </c>
      <c r="C144" s="71" t="s">
        <v>160</v>
      </c>
      <c r="D144" s="71" t="s">
        <v>161</v>
      </c>
      <c r="E144" s="220"/>
      <c r="F144" s="220"/>
      <c r="G144" s="220"/>
      <c r="H144" s="220"/>
      <c r="I144" s="220" t="s">
        <v>173</v>
      </c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</row>
    <row r="145" spans="2:27" ht="30" x14ac:dyDescent="0.25">
      <c r="B145" s="283" t="s">
        <v>162</v>
      </c>
      <c r="C145" s="451"/>
      <c r="D145" s="203">
        <f>IF(C145="tak / 
áno",1.5,1)</f>
        <v>1</v>
      </c>
      <c r="E145" s="220"/>
      <c r="F145" s="220"/>
      <c r="G145" s="220"/>
      <c r="H145" s="220"/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</row>
    <row r="146" spans="2:27" ht="30.75" customHeight="1" x14ac:dyDescent="0.25">
      <c r="B146" s="283" t="s">
        <v>307</v>
      </c>
      <c r="C146" s="394"/>
      <c r="D146" s="203">
        <f t="shared" ref="D146:D148" si="43">IF(C146="tak / 
áno",1.5,1)</f>
        <v>1</v>
      </c>
      <c r="E146" s="220"/>
      <c r="F146" s="220"/>
      <c r="G146" s="220"/>
      <c r="H146" s="220"/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</row>
    <row r="147" spans="2:27" ht="30" x14ac:dyDescent="0.25">
      <c r="B147" s="283" t="s">
        <v>163</v>
      </c>
      <c r="C147" s="394"/>
      <c r="D147" s="203">
        <f t="shared" si="43"/>
        <v>1</v>
      </c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</row>
    <row r="148" spans="2:27" ht="30" x14ac:dyDescent="0.25">
      <c r="B148" s="283" t="s">
        <v>164</v>
      </c>
      <c r="C148" s="394"/>
      <c r="D148" s="203">
        <f t="shared" si="43"/>
        <v>1</v>
      </c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</row>
    <row r="149" spans="2:27" ht="30" customHeight="1" x14ac:dyDescent="0.25">
      <c r="B149" s="556" t="s">
        <v>165</v>
      </c>
      <c r="C149" s="557"/>
      <c r="D149" s="394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</row>
    <row r="150" spans="2:27" ht="30" x14ac:dyDescent="0.25">
      <c r="B150" s="307" t="s">
        <v>167</v>
      </c>
      <c r="C150" s="213">
        <f>Założenia_Predpoklady!C28</f>
        <v>0</v>
      </c>
      <c r="D150" s="203" t="e">
        <f>1+((7/C150-1)/2)</f>
        <v>#DIV/0!</v>
      </c>
      <c r="E150" s="220"/>
      <c r="F150" s="220"/>
      <c r="G150" s="220"/>
      <c r="H150" s="220"/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</row>
    <row r="151" spans="2:27" ht="30" customHeight="1" x14ac:dyDescent="0.25">
      <c r="B151" s="524" t="s">
        <v>310</v>
      </c>
      <c r="C151" s="554"/>
      <c r="D151" s="120" t="e">
        <f>D145*D146*D147*D148*D149*D150</f>
        <v>#DIV/0!</v>
      </c>
      <c r="E151" s="220"/>
      <c r="F151" s="220"/>
      <c r="G151" s="220"/>
      <c r="H151" s="220"/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</row>
    <row r="152" spans="2:27" x14ac:dyDescent="0.25">
      <c r="B152" s="95"/>
      <c r="C152" s="97"/>
      <c r="D152" s="97"/>
      <c r="E152" s="97"/>
      <c r="F152" s="97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4"/>
    </row>
    <row r="153" spans="2:27" ht="30" x14ac:dyDescent="0.25">
      <c r="B153" s="299" t="s">
        <v>130</v>
      </c>
      <c r="C153" s="309">
        <f>C138</f>
        <v>2016</v>
      </c>
      <c r="D153" s="309">
        <f t="shared" ref="D153:AA153" si="44">D138</f>
        <v>2017</v>
      </c>
      <c r="E153" s="309">
        <f t="shared" si="44"/>
        <v>2018</v>
      </c>
      <c r="F153" s="309">
        <f t="shared" si="44"/>
        <v>2019</v>
      </c>
      <c r="G153" s="309">
        <f t="shared" si="44"/>
        <v>2020</v>
      </c>
      <c r="H153" s="309">
        <f t="shared" si="44"/>
        <v>2021</v>
      </c>
      <c r="I153" s="309">
        <f t="shared" si="44"/>
        <v>2022</v>
      </c>
      <c r="J153" s="309">
        <f t="shared" si="44"/>
        <v>2023</v>
      </c>
      <c r="K153" s="309">
        <f t="shared" si="44"/>
        <v>2024</v>
      </c>
      <c r="L153" s="309">
        <f t="shared" si="44"/>
        <v>2025</v>
      </c>
      <c r="M153" s="309">
        <f t="shared" si="44"/>
        <v>2026</v>
      </c>
      <c r="N153" s="309">
        <f t="shared" si="44"/>
        <v>2027</v>
      </c>
      <c r="O153" s="309">
        <f t="shared" si="44"/>
        <v>2028</v>
      </c>
      <c r="P153" s="309">
        <f t="shared" si="44"/>
        <v>2029</v>
      </c>
      <c r="Q153" s="309">
        <f t="shared" si="44"/>
        <v>2030</v>
      </c>
      <c r="R153" s="309">
        <f t="shared" si="44"/>
        <v>2031</v>
      </c>
      <c r="S153" s="309">
        <f t="shared" si="44"/>
        <v>2032</v>
      </c>
      <c r="T153" s="309">
        <f t="shared" si="44"/>
        <v>2033</v>
      </c>
      <c r="U153" s="309">
        <f t="shared" si="44"/>
        <v>2034</v>
      </c>
      <c r="V153" s="309">
        <f t="shared" si="44"/>
        <v>2035</v>
      </c>
      <c r="W153" s="309">
        <f t="shared" si="44"/>
        <v>2036</v>
      </c>
      <c r="X153" s="309">
        <f t="shared" si="44"/>
        <v>2037</v>
      </c>
      <c r="Y153" s="309">
        <f t="shared" si="44"/>
        <v>2038</v>
      </c>
      <c r="Z153" s="309">
        <f t="shared" si="44"/>
        <v>2039</v>
      </c>
      <c r="AA153" s="309">
        <f t="shared" si="44"/>
        <v>2040</v>
      </c>
    </row>
    <row r="154" spans="2:27" ht="30" x14ac:dyDescent="0.25">
      <c r="B154" s="211" t="s">
        <v>176</v>
      </c>
      <c r="C154" s="204" t="e">
        <f>IF(C153&lt;Założenia_Predpoklady!$C$4,C139,IF(C47&lt;$G$127,$H$127,IF(C47&lt;$G$128,$H$128,IF(C47&lt;$G$129,$H$129,$H$130)))*$D$151*C49/1000)</f>
        <v>#DIV/0!</v>
      </c>
      <c r="D154" s="204" t="e">
        <f>IF(D153&lt;Założenia_Predpoklady!$C$4,D139,IF(D47&lt;$G$127,$H$127,IF(D47&lt;$G$128,$H$128,IF(D47&lt;$G$129,$H$129,$H$130)))*$D$151*D49/1000)</f>
        <v>#DIV/0!</v>
      </c>
      <c r="E154" s="204" t="e">
        <f>IF(E153&lt;Założenia_Predpoklady!$C$4,E139,IF(E47&lt;$G$127,$H$127,IF(E47&lt;$G$128,$H$128,IF(E47&lt;$G$129,$H$129,$H$130)))*$D$151*E49/1000)</f>
        <v>#DIV/0!</v>
      </c>
      <c r="F154" s="204" t="e">
        <f>IF(F153&lt;Założenia_Predpoklady!$C$4,F139,IF(F47&lt;$G$127,$H$127,IF(F47&lt;$G$128,$H$128,IF(F47&lt;$G$129,$H$129,$H$130)))*$D$151*F49/1000)</f>
        <v>#DIV/0!</v>
      </c>
      <c r="G154" s="204" t="e">
        <f>IF(G153&lt;Założenia_Predpoklady!$C$4,G139,IF(G47&lt;$G$127,$H$127,IF(G47&lt;$G$128,$H$128,IF(G47&lt;$G$129,$H$129,$H$130)))*$D$151*G49/1000)</f>
        <v>#DIV/0!</v>
      </c>
      <c r="H154" s="204" t="e">
        <f>IF(H153&lt;Założenia_Predpoklady!$C$4,H139,IF(H47&lt;$G$127,$H$127,IF(H47&lt;$G$128,$H$128,IF(H47&lt;$G$129,$H$129,$H$130)))*$D$151*H49/1000)</f>
        <v>#DIV/0!</v>
      </c>
      <c r="I154" s="204" t="e">
        <f>IF(I153&lt;Założenia_Predpoklady!$C$4,I139,IF(I47&lt;$G$127,$H$127,IF(I47&lt;$G$128,$H$128,IF(I47&lt;$G$129,$H$129,$H$130)))*$D$151*I49/1000)</f>
        <v>#DIV/0!</v>
      </c>
      <c r="J154" s="204" t="e">
        <f>IF(J153&lt;Założenia_Predpoklady!$C$4,J139,IF(J47&lt;$G$127,$H$127,IF(J47&lt;$G$128,$H$128,IF(J47&lt;$G$129,$H$129,$H$130)))*$D$151*J49/1000)</f>
        <v>#DIV/0!</v>
      </c>
      <c r="K154" s="204" t="e">
        <f>IF(K153&lt;Założenia_Predpoklady!$C$4,K139,IF(K47&lt;$G$127,$H$127,IF(K47&lt;$G$128,$H$128,IF(K47&lt;$G$129,$H$129,$H$130)))*$D$151*K49/1000)</f>
        <v>#DIV/0!</v>
      </c>
      <c r="L154" s="204" t="e">
        <f>IF(L153&lt;Założenia_Predpoklady!$C$4,L139,IF(L47&lt;$G$127,$H$127,IF(L47&lt;$G$128,$H$128,IF(L47&lt;$G$129,$H$129,$H$130)))*$D$151*L49/1000)</f>
        <v>#DIV/0!</v>
      </c>
      <c r="M154" s="204" t="e">
        <f>IF(M153&lt;Założenia_Predpoklady!$C$4,M139,IF(M47&lt;$G$127,$H$127,IF(M47&lt;$G$128,$H$128,IF(M47&lt;$G$129,$H$129,$H$130)))*$D$151*M49/1000)</f>
        <v>#DIV/0!</v>
      </c>
      <c r="N154" s="204" t="e">
        <f>IF(N153&lt;Założenia_Predpoklady!$C$4,N139,IF(N47&lt;$G$127,$H$127,IF(N47&lt;$G$128,$H$128,IF(N47&lt;$G$129,$H$129,$H$130)))*$D$151*N49/1000)</f>
        <v>#DIV/0!</v>
      </c>
      <c r="O154" s="204" t="e">
        <f>IF(O153&lt;Założenia_Predpoklady!$C$4,O139,IF(O47&lt;$G$127,$H$127,IF(O47&lt;$G$128,$H$128,IF(O47&lt;$G$129,$H$129,$H$130)))*$D$151*O49/1000)</f>
        <v>#DIV/0!</v>
      </c>
      <c r="P154" s="204" t="e">
        <f>IF(P153&lt;Założenia_Predpoklady!$C$4,P139,IF(P47&lt;$G$127,$H$127,IF(P47&lt;$G$128,$H$128,IF(P47&lt;$G$129,$H$129,$H$130)))*$D$151*P49/1000)</f>
        <v>#DIV/0!</v>
      </c>
      <c r="Q154" s="204" t="e">
        <f>IF(Q153&lt;Założenia_Predpoklady!$C$4,Q139,IF(Q47&lt;$G$127,$H$127,IF(Q47&lt;$G$128,$H$128,IF(Q47&lt;$G$129,$H$129,$H$130)))*$D$151*Q49/1000)</f>
        <v>#DIV/0!</v>
      </c>
      <c r="R154" s="204" t="e">
        <f>IF(R153&lt;Założenia_Predpoklady!$C$4,R139,IF(R47&lt;$G$127,$H$127,IF(R47&lt;$G$128,$H$128,IF(R47&lt;$G$129,$H$129,$H$130)))*$D$151*R49/1000)</f>
        <v>#DIV/0!</v>
      </c>
      <c r="S154" s="204" t="e">
        <f>IF(S153&lt;Założenia_Predpoklady!$C$4,S139,IF(S47&lt;$G$127,$H$127,IF(S47&lt;$G$128,$H$128,IF(S47&lt;$G$129,$H$129,$H$130)))*$D$151*S49/1000)</f>
        <v>#DIV/0!</v>
      </c>
      <c r="T154" s="204" t="e">
        <f>IF(T153&lt;Założenia_Predpoklady!$C$4,T139,IF(T47&lt;$G$127,$H$127,IF(T47&lt;$G$128,$H$128,IF(T47&lt;$G$129,$H$129,$H$130)))*$D$151*T49/1000)</f>
        <v>#DIV/0!</v>
      </c>
      <c r="U154" s="204" t="e">
        <f>IF(U153&lt;Założenia_Predpoklady!$C$4,U139,IF(U47&lt;$G$127,$H$127,IF(U47&lt;$G$128,$H$128,IF(U47&lt;$G$129,$H$129,$H$130)))*$D$151*U49/1000)</f>
        <v>#DIV/0!</v>
      </c>
      <c r="V154" s="204" t="e">
        <f>IF(V153&lt;Założenia_Predpoklady!$C$4,V139,IF(V47&lt;$G$127,$H$127,IF(V47&lt;$G$128,$H$128,IF(V47&lt;$G$129,$H$129,$H$130)))*$D$151*V49/1000)</f>
        <v>#DIV/0!</v>
      </c>
      <c r="W154" s="204" t="e">
        <f>IF(W153&lt;Założenia_Predpoklady!$C$4,W139,IF(W47&lt;$G$127,$H$127,IF(W47&lt;$G$128,$H$128,IF(W47&lt;$G$129,$H$129,$H$130)))*$D$151*W49/1000)</f>
        <v>#DIV/0!</v>
      </c>
      <c r="X154" s="204" t="e">
        <f>IF(X153&lt;Założenia_Predpoklady!$C$4,X139,IF(X47&lt;$G$127,$H$127,IF(X47&lt;$G$128,$H$128,IF(X47&lt;$G$129,$H$129,$H$130)))*$D$151*X49/1000)</f>
        <v>#DIV/0!</v>
      </c>
      <c r="Y154" s="204" t="e">
        <f>IF(Y153&lt;Założenia_Predpoklady!$C$4,Y139,IF(Y47&lt;$G$127,$H$127,IF(Y47&lt;$G$128,$H$128,IF(Y47&lt;$G$129,$H$129,$H$130)))*$D$151*Y49/1000)</f>
        <v>#DIV/0!</v>
      </c>
      <c r="Z154" s="204" t="e">
        <f>IF(Z153&lt;Założenia_Predpoklady!$C$4,Z139,IF(Z47&lt;$G$127,$H$127,IF(Z47&lt;$G$128,$H$128,IF(Z47&lt;$G$129,$H$129,$H$130)))*$D$151*Z49/1000)</f>
        <v>#DIV/0!</v>
      </c>
      <c r="AA154" s="204" t="e">
        <f>IF(AA153&lt;Założenia_Predpoklady!$C$4,AA139,IF(AA47&lt;$G$127,$H$127,IF(AA47&lt;$G$128,$H$128,IF(AA47&lt;$G$129,$H$129,$H$130)))*$D$151*AA49/1000)</f>
        <v>#DIV/0!</v>
      </c>
    </row>
    <row r="155" spans="2:27" ht="30" x14ac:dyDescent="0.25">
      <c r="B155" s="211" t="s">
        <v>170</v>
      </c>
      <c r="C155" s="204" t="e">
        <f>SUM(C154:AA154)</f>
        <v>#DIV/0!</v>
      </c>
      <c r="D155" s="208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09"/>
      <c r="V155" s="209"/>
      <c r="W155" s="209"/>
      <c r="X155" s="209"/>
      <c r="Y155" s="209"/>
      <c r="Z155" s="209"/>
      <c r="AA155" s="209"/>
    </row>
    <row r="156" spans="2:27" ht="36" x14ac:dyDescent="0.35">
      <c r="B156" s="304" t="s">
        <v>174</v>
      </c>
      <c r="C156" s="205" t="e">
        <f>$C$136*C154</f>
        <v>#DIV/0!</v>
      </c>
      <c r="D156" s="205" t="e">
        <f t="shared" ref="D156:AA156" si="45">$C$136*D154</f>
        <v>#DIV/0!</v>
      </c>
      <c r="E156" s="205" t="e">
        <f t="shared" si="45"/>
        <v>#DIV/0!</v>
      </c>
      <c r="F156" s="205" t="e">
        <f t="shared" si="45"/>
        <v>#DIV/0!</v>
      </c>
      <c r="G156" s="205" t="e">
        <f t="shared" si="45"/>
        <v>#DIV/0!</v>
      </c>
      <c r="H156" s="205" t="e">
        <f t="shared" si="45"/>
        <v>#DIV/0!</v>
      </c>
      <c r="I156" s="205" t="e">
        <f t="shared" si="45"/>
        <v>#DIV/0!</v>
      </c>
      <c r="J156" s="205" t="e">
        <f t="shared" si="45"/>
        <v>#DIV/0!</v>
      </c>
      <c r="K156" s="205" t="e">
        <f t="shared" si="45"/>
        <v>#DIV/0!</v>
      </c>
      <c r="L156" s="205" t="e">
        <f t="shared" si="45"/>
        <v>#DIV/0!</v>
      </c>
      <c r="M156" s="205" t="e">
        <f t="shared" si="45"/>
        <v>#DIV/0!</v>
      </c>
      <c r="N156" s="205" t="e">
        <f t="shared" si="45"/>
        <v>#DIV/0!</v>
      </c>
      <c r="O156" s="205" t="e">
        <f t="shared" si="45"/>
        <v>#DIV/0!</v>
      </c>
      <c r="P156" s="205" t="e">
        <f t="shared" si="45"/>
        <v>#DIV/0!</v>
      </c>
      <c r="Q156" s="205" t="e">
        <f t="shared" si="45"/>
        <v>#DIV/0!</v>
      </c>
      <c r="R156" s="205" t="e">
        <f t="shared" si="45"/>
        <v>#DIV/0!</v>
      </c>
      <c r="S156" s="205" t="e">
        <f t="shared" si="45"/>
        <v>#DIV/0!</v>
      </c>
      <c r="T156" s="205" t="e">
        <f t="shared" si="45"/>
        <v>#DIV/0!</v>
      </c>
      <c r="U156" s="205" t="e">
        <f t="shared" si="45"/>
        <v>#DIV/0!</v>
      </c>
      <c r="V156" s="205" t="e">
        <f t="shared" si="45"/>
        <v>#DIV/0!</v>
      </c>
      <c r="W156" s="205" t="e">
        <f t="shared" si="45"/>
        <v>#DIV/0!</v>
      </c>
      <c r="X156" s="205" t="e">
        <f t="shared" si="45"/>
        <v>#DIV/0!</v>
      </c>
      <c r="Y156" s="205" t="e">
        <f t="shared" si="45"/>
        <v>#DIV/0!</v>
      </c>
      <c r="Z156" s="205" t="e">
        <f t="shared" si="45"/>
        <v>#DIV/0!</v>
      </c>
      <c r="AA156" s="205" t="e">
        <f t="shared" si="45"/>
        <v>#DIV/0!</v>
      </c>
    </row>
    <row r="157" spans="2:27" ht="36" x14ac:dyDescent="0.35">
      <c r="B157" s="304" t="s">
        <v>175</v>
      </c>
      <c r="C157" s="51" t="e">
        <f>C141-C156</f>
        <v>#DIV/0!</v>
      </c>
      <c r="D157" s="51" t="e">
        <f t="shared" ref="D157:AA157" si="46">D141-D156</f>
        <v>#DIV/0!</v>
      </c>
      <c r="E157" s="51" t="e">
        <f t="shared" si="46"/>
        <v>#DIV/0!</v>
      </c>
      <c r="F157" s="51" t="e">
        <f t="shared" si="46"/>
        <v>#DIV/0!</v>
      </c>
      <c r="G157" s="51" t="e">
        <f t="shared" si="46"/>
        <v>#DIV/0!</v>
      </c>
      <c r="H157" s="51" t="e">
        <f t="shared" si="46"/>
        <v>#DIV/0!</v>
      </c>
      <c r="I157" s="51" t="e">
        <f t="shared" si="46"/>
        <v>#DIV/0!</v>
      </c>
      <c r="J157" s="51" t="e">
        <f t="shared" si="46"/>
        <v>#DIV/0!</v>
      </c>
      <c r="K157" s="51" t="e">
        <f t="shared" si="46"/>
        <v>#DIV/0!</v>
      </c>
      <c r="L157" s="51" t="e">
        <f t="shared" si="46"/>
        <v>#DIV/0!</v>
      </c>
      <c r="M157" s="51" t="e">
        <f t="shared" si="46"/>
        <v>#DIV/0!</v>
      </c>
      <c r="N157" s="51" t="e">
        <f t="shared" si="46"/>
        <v>#DIV/0!</v>
      </c>
      <c r="O157" s="51" t="e">
        <f t="shared" si="46"/>
        <v>#DIV/0!</v>
      </c>
      <c r="P157" s="51" t="e">
        <f t="shared" si="46"/>
        <v>#DIV/0!</v>
      </c>
      <c r="Q157" s="51" t="e">
        <f t="shared" si="46"/>
        <v>#DIV/0!</v>
      </c>
      <c r="R157" s="51" t="e">
        <f t="shared" si="46"/>
        <v>#DIV/0!</v>
      </c>
      <c r="S157" s="51" t="e">
        <f t="shared" si="46"/>
        <v>#DIV/0!</v>
      </c>
      <c r="T157" s="51" t="e">
        <f t="shared" si="46"/>
        <v>#DIV/0!</v>
      </c>
      <c r="U157" s="51" t="e">
        <f t="shared" si="46"/>
        <v>#DIV/0!</v>
      </c>
      <c r="V157" s="51" t="e">
        <f t="shared" si="46"/>
        <v>#DIV/0!</v>
      </c>
      <c r="W157" s="51" t="e">
        <f t="shared" si="46"/>
        <v>#DIV/0!</v>
      </c>
      <c r="X157" s="51" t="e">
        <f t="shared" si="46"/>
        <v>#DIV/0!</v>
      </c>
      <c r="Y157" s="51" t="e">
        <f t="shared" si="46"/>
        <v>#DIV/0!</v>
      </c>
      <c r="Z157" s="51" t="e">
        <f t="shared" si="46"/>
        <v>#DIV/0!</v>
      </c>
      <c r="AA157" s="51" t="e">
        <f t="shared" si="46"/>
        <v>#DIV/0!</v>
      </c>
    </row>
    <row r="158" spans="2:27" ht="3" customHeight="1" x14ac:dyDescent="0.25">
      <c r="B158" s="95"/>
      <c r="C158" s="97"/>
      <c r="D158" s="97"/>
      <c r="E158" s="97"/>
      <c r="F158" s="97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4"/>
    </row>
    <row r="159" spans="2:27" ht="30" x14ac:dyDescent="0.25">
      <c r="B159" s="260" t="s">
        <v>234</v>
      </c>
      <c r="C159" s="214"/>
      <c r="D159" s="214"/>
      <c r="E159" s="214"/>
      <c r="F159" s="97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4"/>
    </row>
    <row r="160" spans="2:27" ht="30" customHeight="1" x14ac:dyDescent="0.25">
      <c r="B160" s="461" t="s">
        <v>418</v>
      </c>
      <c r="C160" s="544" t="s">
        <v>417</v>
      </c>
      <c r="D160" s="544"/>
      <c r="E160" s="544"/>
      <c r="F160" s="97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</row>
    <row r="161" spans="1:27" x14ac:dyDescent="0.25">
      <c r="B161" s="95"/>
      <c r="C161" s="97"/>
      <c r="D161" s="97"/>
      <c r="E161" s="97"/>
      <c r="F161" s="97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4"/>
    </row>
    <row r="162" spans="1:27" ht="36" customHeight="1" x14ac:dyDescent="0.25">
      <c r="A162" s="12"/>
      <c r="B162" s="555" t="s">
        <v>311</v>
      </c>
      <c r="C162" s="555"/>
      <c r="D162" s="555"/>
    </row>
    <row r="163" spans="1:27" ht="2.1" customHeight="1" x14ac:dyDescent="0.25">
      <c r="B163" s="395" t="s">
        <v>335</v>
      </c>
      <c r="C163" s="452" t="s">
        <v>325</v>
      </c>
      <c r="D163" s="452" t="s">
        <v>326</v>
      </c>
      <c r="E163" s="452" t="s">
        <v>327</v>
      </c>
      <c r="F163" s="452" t="s">
        <v>328</v>
      </c>
      <c r="G163" s="452" t="s">
        <v>329</v>
      </c>
      <c r="H163" s="452" t="s">
        <v>330</v>
      </c>
      <c r="I163" s="429"/>
      <c r="J163" s="453"/>
      <c r="K163" s="454"/>
      <c r="L163" s="455"/>
      <c r="M163" s="455"/>
    </row>
    <row r="164" spans="1:27" ht="3" customHeight="1" x14ac:dyDescent="0.25">
      <c r="B164" s="453" t="s">
        <v>320</v>
      </c>
      <c r="C164" s="456">
        <f>0.04*1000/4.1</f>
        <v>9.7560975609756113</v>
      </c>
      <c r="D164" s="456">
        <f>0.036*1000/4.1</f>
        <v>8.7804878048780495</v>
      </c>
      <c r="E164" s="456">
        <f>0.033*1000/4.1</f>
        <v>8.0487804878048781</v>
      </c>
      <c r="F164" s="456">
        <f>0.032*1000/4.1</f>
        <v>7.8048780487804885</v>
      </c>
      <c r="G164" s="456">
        <f>0.031*1000/4.1</f>
        <v>7.5609756097560981</v>
      </c>
      <c r="H164" s="456">
        <f>0.03*1000/4.1</f>
        <v>7.3170731707317076</v>
      </c>
      <c r="I164" s="553" t="s">
        <v>334</v>
      </c>
      <c r="J164" s="453"/>
      <c r="K164" s="454"/>
      <c r="L164" s="455"/>
      <c r="M164" s="455"/>
    </row>
    <row r="165" spans="1:27" ht="3" customHeight="1" x14ac:dyDescent="0.25">
      <c r="B165" s="453" t="s">
        <v>321</v>
      </c>
      <c r="C165" s="456">
        <f>0.053*1000/4.1</f>
        <v>12.926829268292684</v>
      </c>
      <c r="D165" s="456">
        <f>0.047*1000/4.1</f>
        <v>11.463414634146343</v>
      </c>
      <c r="E165" s="456">
        <f>0.044*1000/4.1</f>
        <v>10.731707317073171</v>
      </c>
      <c r="F165" s="456">
        <f t="shared" ref="F165:H165" si="47">0.042*1000/4.1</f>
        <v>10.24390243902439</v>
      </c>
      <c r="G165" s="456">
        <f t="shared" si="47"/>
        <v>10.24390243902439</v>
      </c>
      <c r="H165" s="456">
        <f t="shared" si="47"/>
        <v>10.24390243902439</v>
      </c>
      <c r="I165" s="553"/>
      <c r="J165" s="398" t="s">
        <v>331</v>
      </c>
      <c r="K165" s="454"/>
      <c r="L165" s="455"/>
      <c r="M165" s="455"/>
    </row>
    <row r="166" spans="1:27" ht="3" customHeight="1" x14ac:dyDescent="0.25">
      <c r="B166" s="453" t="s">
        <v>322</v>
      </c>
      <c r="C166" s="456">
        <f>0.917*1000/4.1</f>
        <v>223.65853658536588</v>
      </c>
      <c r="D166" s="456">
        <f>0.846*1000/4.1</f>
        <v>206.34146341463418</v>
      </c>
      <c r="E166" s="456">
        <f>0.832*1000/4.1</f>
        <v>202.92682926829269</v>
      </c>
      <c r="F166" s="456">
        <f>0.824*1000/4.1</f>
        <v>200.97560975609758</v>
      </c>
      <c r="G166" s="456">
        <f t="shared" ref="G166" si="48">0.846*1000/4.1</f>
        <v>206.34146341463418</v>
      </c>
      <c r="H166" s="456">
        <f>0.87*1000/4.1</f>
        <v>212.19512195121953</v>
      </c>
      <c r="I166" s="553"/>
      <c r="J166" s="398" t="s">
        <v>332</v>
      </c>
      <c r="K166" s="454">
        <f>IF(Założenia_Predpoklady!C24="C",1.3,IF(Założenia_Predpoklady!C24="B",1,0.8))</f>
        <v>0.8</v>
      </c>
      <c r="L166" s="455"/>
      <c r="M166" s="455"/>
    </row>
    <row r="167" spans="1:27" ht="3" customHeight="1" x14ac:dyDescent="0.25">
      <c r="B167" s="453" t="s">
        <v>323</v>
      </c>
      <c r="C167" s="456">
        <f>1.778*1000/4.1</f>
        <v>433.65853658536588</v>
      </c>
      <c r="D167" s="456">
        <f>1.618*1000/4.1</f>
        <v>394.63414634146346</v>
      </c>
      <c r="E167" s="456">
        <f>1.553*1000/4.1</f>
        <v>378.78048780487808</v>
      </c>
      <c r="F167" s="456">
        <f>1.552*1000/4.1</f>
        <v>378.53658536585368</v>
      </c>
      <c r="G167" s="456">
        <f>1.601*1000/4.1</f>
        <v>390.48780487804879</v>
      </c>
      <c r="H167" s="456">
        <f>1.694*1000/4.1</f>
        <v>413.17073170731709</v>
      </c>
      <c r="I167" s="553"/>
      <c r="J167" s="398" t="s">
        <v>333</v>
      </c>
      <c r="K167" s="454">
        <f>IF(Założenia_Predpoklady!C30="C",1.3,IF(Założenia_Predpoklady!C30="B",1,0.8))</f>
        <v>0.8</v>
      </c>
      <c r="L167" s="455"/>
      <c r="M167" s="455"/>
    </row>
    <row r="168" spans="1:27" ht="3" customHeight="1" x14ac:dyDescent="0.25">
      <c r="B168" s="453" t="s">
        <v>324</v>
      </c>
      <c r="C168" s="456">
        <f>0.961*1000/4.1</f>
        <v>234.39024390243904</v>
      </c>
      <c r="D168" s="456">
        <f>0.886*1000/4.1</f>
        <v>216.09756097560978</v>
      </c>
      <c r="E168" s="456">
        <f>0.862*1000/4.1</f>
        <v>210.2439024390244</v>
      </c>
      <c r="F168" s="456">
        <f>0.869*1000/4.1</f>
        <v>211.95121951219514</v>
      </c>
      <c r="G168" s="456">
        <f>0.899*1000/4.1</f>
        <v>219.26829268292684</v>
      </c>
      <c r="H168" s="456">
        <f>0.949*1000/4.1</f>
        <v>231.46341463414637</v>
      </c>
      <c r="I168" s="553"/>
      <c r="J168" s="454"/>
      <c r="K168" s="454"/>
      <c r="L168" s="455"/>
      <c r="M168" s="455"/>
    </row>
    <row r="169" spans="1:27" ht="3" customHeight="1" x14ac:dyDescent="0.25">
      <c r="B169" s="195"/>
      <c r="C169" s="54"/>
      <c r="D169" s="212"/>
      <c r="G169" s="230"/>
      <c r="H169" s="231"/>
      <c r="I169" s="231"/>
      <c r="J169" s="231"/>
      <c r="K169" s="231"/>
      <c r="L169" s="231"/>
      <c r="M169" s="231"/>
    </row>
    <row r="170" spans="1:27" ht="36" x14ac:dyDescent="0.35">
      <c r="B170" s="311" t="s">
        <v>177</v>
      </c>
      <c r="C170" s="53">
        <f t="shared" ref="C170:AA170" si="49">C15</f>
        <v>2016</v>
      </c>
      <c r="D170" s="53">
        <f t="shared" si="49"/>
        <v>2017</v>
      </c>
      <c r="E170" s="53">
        <f t="shared" si="49"/>
        <v>2018</v>
      </c>
      <c r="F170" s="53">
        <f t="shared" si="49"/>
        <v>2019</v>
      </c>
      <c r="G170" s="53">
        <f t="shared" si="49"/>
        <v>2020</v>
      </c>
      <c r="H170" s="53">
        <f t="shared" si="49"/>
        <v>2021</v>
      </c>
      <c r="I170" s="53">
        <f t="shared" si="49"/>
        <v>2022</v>
      </c>
      <c r="J170" s="53">
        <f t="shared" si="49"/>
        <v>2023</v>
      </c>
      <c r="K170" s="53">
        <f t="shared" si="49"/>
        <v>2024</v>
      </c>
      <c r="L170" s="53">
        <f t="shared" si="49"/>
        <v>2025</v>
      </c>
      <c r="M170" s="53">
        <f t="shared" si="49"/>
        <v>2026</v>
      </c>
      <c r="N170" s="53">
        <f t="shared" si="49"/>
        <v>2027</v>
      </c>
      <c r="O170" s="53">
        <f t="shared" si="49"/>
        <v>2028</v>
      </c>
      <c r="P170" s="53">
        <f t="shared" si="49"/>
        <v>2029</v>
      </c>
      <c r="Q170" s="53">
        <f t="shared" si="49"/>
        <v>2030</v>
      </c>
      <c r="R170" s="53">
        <f t="shared" si="49"/>
        <v>2031</v>
      </c>
      <c r="S170" s="53">
        <f t="shared" si="49"/>
        <v>2032</v>
      </c>
      <c r="T170" s="53">
        <f t="shared" si="49"/>
        <v>2033</v>
      </c>
      <c r="U170" s="53">
        <f t="shared" si="49"/>
        <v>2034</v>
      </c>
      <c r="V170" s="53">
        <f t="shared" si="49"/>
        <v>2035</v>
      </c>
      <c r="W170" s="53">
        <f t="shared" si="49"/>
        <v>2036</v>
      </c>
      <c r="X170" s="53">
        <f t="shared" si="49"/>
        <v>2037</v>
      </c>
      <c r="Y170" s="53">
        <f t="shared" si="49"/>
        <v>2038</v>
      </c>
      <c r="Z170" s="53">
        <f t="shared" si="49"/>
        <v>2039</v>
      </c>
      <c r="AA170" s="53">
        <f t="shared" si="49"/>
        <v>2040</v>
      </c>
    </row>
    <row r="171" spans="1:27" x14ac:dyDescent="0.25">
      <c r="B171" s="303" t="s">
        <v>131</v>
      </c>
      <c r="C171" s="4">
        <f t="shared" ref="C171:AA171" si="50">C16*365*$C$13/1000*IF(C$25&lt;30,$C$164,IF(C$25&lt;40,$D$164,IF(C$25&lt;50,$E$164,IF(C$25&lt;60,$F$164,IF(C$25&lt;70,$G$164,$H$164)))))*$K$166</f>
        <v>0</v>
      </c>
      <c r="D171" s="4" t="e">
        <f t="shared" si="50"/>
        <v>#DIV/0!</v>
      </c>
      <c r="E171" s="4" t="e">
        <f t="shared" si="50"/>
        <v>#DIV/0!</v>
      </c>
      <c r="F171" s="4" t="e">
        <f t="shared" si="50"/>
        <v>#DIV/0!</v>
      </c>
      <c r="G171" s="4" t="e">
        <f t="shared" si="50"/>
        <v>#DIV/0!</v>
      </c>
      <c r="H171" s="4" t="e">
        <f t="shared" si="50"/>
        <v>#DIV/0!</v>
      </c>
      <c r="I171" s="4" t="e">
        <f t="shared" si="50"/>
        <v>#DIV/0!</v>
      </c>
      <c r="J171" s="4" t="e">
        <f t="shared" si="50"/>
        <v>#DIV/0!</v>
      </c>
      <c r="K171" s="4" t="e">
        <f t="shared" si="50"/>
        <v>#DIV/0!</v>
      </c>
      <c r="L171" s="4" t="e">
        <f t="shared" si="50"/>
        <v>#DIV/0!</v>
      </c>
      <c r="M171" s="4" t="e">
        <f t="shared" si="50"/>
        <v>#DIV/0!</v>
      </c>
      <c r="N171" s="4" t="e">
        <f t="shared" si="50"/>
        <v>#DIV/0!</v>
      </c>
      <c r="O171" s="4" t="e">
        <f t="shared" si="50"/>
        <v>#DIV/0!</v>
      </c>
      <c r="P171" s="4" t="e">
        <f t="shared" si="50"/>
        <v>#DIV/0!</v>
      </c>
      <c r="Q171" s="4" t="e">
        <f t="shared" si="50"/>
        <v>#DIV/0!</v>
      </c>
      <c r="R171" s="4" t="e">
        <f t="shared" si="50"/>
        <v>#DIV/0!</v>
      </c>
      <c r="S171" s="4" t="e">
        <f t="shared" si="50"/>
        <v>#DIV/0!</v>
      </c>
      <c r="T171" s="4" t="e">
        <f t="shared" si="50"/>
        <v>#DIV/0!</v>
      </c>
      <c r="U171" s="4" t="e">
        <f t="shared" si="50"/>
        <v>#DIV/0!</v>
      </c>
      <c r="V171" s="4" t="e">
        <f t="shared" si="50"/>
        <v>#DIV/0!</v>
      </c>
      <c r="W171" s="4" t="e">
        <f t="shared" si="50"/>
        <v>#DIV/0!</v>
      </c>
      <c r="X171" s="4" t="e">
        <f t="shared" si="50"/>
        <v>#DIV/0!</v>
      </c>
      <c r="Y171" s="4" t="e">
        <f t="shared" si="50"/>
        <v>#DIV/0!</v>
      </c>
      <c r="Z171" s="4" t="e">
        <f t="shared" si="50"/>
        <v>#DIV/0!</v>
      </c>
      <c r="AA171" s="4" t="e">
        <f t="shared" si="50"/>
        <v>#DIV/0!</v>
      </c>
    </row>
    <row r="172" spans="1:27" x14ac:dyDescent="0.25">
      <c r="B172" s="303" t="s">
        <v>132</v>
      </c>
      <c r="C172" s="4">
        <f t="shared" ref="C172:AA172" si="51">C17*365*$C$13/1000*IF(C$25&lt;30,$C$165,IF(C$25&lt;40,$D$165,IF(C$25&lt;50,$E$165,IF(C$25&lt;60,$F$165,IF(C$25&lt;70,$G$165,$H$165)))))*$K$166</f>
        <v>0</v>
      </c>
      <c r="D172" s="4" t="e">
        <f t="shared" si="51"/>
        <v>#DIV/0!</v>
      </c>
      <c r="E172" s="4" t="e">
        <f t="shared" si="51"/>
        <v>#DIV/0!</v>
      </c>
      <c r="F172" s="4" t="e">
        <f t="shared" si="51"/>
        <v>#DIV/0!</v>
      </c>
      <c r="G172" s="4" t="e">
        <f t="shared" si="51"/>
        <v>#DIV/0!</v>
      </c>
      <c r="H172" s="4" t="e">
        <f t="shared" si="51"/>
        <v>#DIV/0!</v>
      </c>
      <c r="I172" s="4" t="e">
        <f t="shared" si="51"/>
        <v>#DIV/0!</v>
      </c>
      <c r="J172" s="4" t="e">
        <f t="shared" si="51"/>
        <v>#DIV/0!</v>
      </c>
      <c r="K172" s="4" t="e">
        <f t="shared" si="51"/>
        <v>#DIV/0!</v>
      </c>
      <c r="L172" s="4" t="e">
        <f t="shared" si="51"/>
        <v>#DIV/0!</v>
      </c>
      <c r="M172" s="4" t="e">
        <f t="shared" si="51"/>
        <v>#DIV/0!</v>
      </c>
      <c r="N172" s="4" t="e">
        <f t="shared" si="51"/>
        <v>#DIV/0!</v>
      </c>
      <c r="O172" s="4" t="e">
        <f t="shared" si="51"/>
        <v>#DIV/0!</v>
      </c>
      <c r="P172" s="4" t="e">
        <f t="shared" si="51"/>
        <v>#DIV/0!</v>
      </c>
      <c r="Q172" s="4" t="e">
        <f t="shared" si="51"/>
        <v>#DIV/0!</v>
      </c>
      <c r="R172" s="4" t="e">
        <f t="shared" si="51"/>
        <v>#DIV/0!</v>
      </c>
      <c r="S172" s="4" t="e">
        <f t="shared" si="51"/>
        <v>#DIV/0!</v>
      </c>
      <c r="T172" s="4" t="e">
        <f t="shared" si="51"/>
        <v>#DIV/0!</v>
      </c>
      <c r="U172" s="4" t="e">
        <f t="shared" si="51"/>
        <v>#DIV/0!</v>
      </c>
      <c r="V172" s="4" t="e">
        <f t="shared" si="51"/>
        <v>#DIV/0!</v>
      </c>
      <c r="W172" s="4" t="e">
        <f t="shared" si="51"/>
        <v>#DIV/0!</v>
      </c>
      <c r="X172" s="4" t="e">
        <f t="shared" si="51"/>
        <v>#DIV/0!</v>
      </c>
      <c r="Y172" s="4" t="e">
        <f t="shared" si="51"/>
        <v>#DIV/0!</v>
      </c>
      <c r="Z172" s="4" t="e">
        <f t="shared" si="51"/>
        <v>#DIV/0!</v>
      </c>
      <c r="AA172" s="4" t="e">
        <f t="shared" si="51"/>
        <v>#DIV/0!</v>
      </c>
    </row>
    <row r="173" spans="1:27" x14ac:dyDescent="0.25">
      <c r="B173" s="303" t="s">
        <v>133</v>
      </c>
      <c r="C173" s="4">
        <f t="shared" ref="C173:AA173" si="52">C18*365*$C$13/1000*IF(C$26&lt;30,$C$166,IF(C$26&lt;40,$D$166,IF(C$26&lt;50,$E$166,IF(C$26&lt;60,$F$166,IF(C$26&lt;70,$G$166,$H$166)))))*$K$166</f>
        <v>0</v>
      </c>
      <c r="D173" s="4" t="e">
        <f t="shared" si="52"/>
        <v>#DIV/0!</v>
      </c>
      <c r="E173" s="4" t="e">
        <f t="shared" si="52"/>
        <v>#DIV/0!</v>
      </c>
      <c r="F173" s="4" t="e">
        <f t="shared" si="52"/>
        <v>#DIV/0!</v>
      </c>
      <c r="G173" s="4" t="e">
        <f t="shared" si="52"/>
        <v>#DIV/0!</v>
      </c>
      <c r="H173" s="4" t="e">
        <f t="shared" si="52"/>
        <v>#DIV/0!</v>
      </c>
      <c r="I173" s="4" t="e">
        <f t="shared" si="52"/>
        <v>#DIV/0!</v>
      </c>
      <c r="J173" s="4" t="e">
        <f t="shared" si="52"/>
        <v>#DIV/0!</v>
      </c>
      <c r="K173" s="4" t="e">
        <f t="shared" si="52"/>
        <v>#DIV/0!</v>
      </c>
      <c r="L173" s="4" t="e">
        <f t="shared" si="52"/>
        <v>#DIV/0!</v>
      </c>
      <c r="M173" s="4" t="e">
        <f t="shared" si="52"/>
        <v>#DIV/0!</v>
      </c>
      <c r="N173" s="4" t="e">
        <f t="shared" si="52"/>
        <v>#DIV/0!</v>
      </c>
      <c r="O173" s="4" t="e">
        <f t="shared" si="52"/>
        <v>#DIV/0!</v>
      </c>
      <c r="P173" s="4" t="e">
        <f t="shared" si="52"/>
        <v>#DIV/0!</v>
      </c>
      <c r="Q173" s="4" t="e">
        <f t="shared" si="52"/>
        <v>#DIV/0!</v>
      </c>
      <c r="R173" s="4" t="e">
        <f t="shared" si="52"/>
        <v>#DIV/0!</v>
      </c>
      <c r="S173" s="4" t="e">
        <f t="shared" si="52"/>
        <v>#DIV/0!</v>
      </c>
      <c r="T173" s="4" t="e">
        <f t="shared" si="52"/>
        <v>#DIV/0!</v>
      </c>
      <c r="U173" s="4" t="e">
        <f t="shared" si="52"/>
        <v>#DIV/0!</v>
      </c>
      <c r="V173" s="4" t="e">
        <f t="shared" si="52"/>
        <v>#DIV/0!</v>
      </c>
      <c r="W173" s="4" t="e">
        <f t="shared" si="52"/>
        <v>#DIV/0!</v>
      </c>
      <c r="X173" s="4" t="e">
        <f t="shared" si="52"/>
        <v>#DIV/0!</v>
      </c>
      <c r="Y173" s="4" t="e">
        <f t="shared" si="52"/>
        <v>#DIV/0!</v>
      </c>
      <c r="Z173" s="4" t="e">
        <f t="shared" si="52"/>
        <v>#DIV/0!</v>
      </c>
      <c r="AA173" s="4" t="e">
        <f t="shared" si="52"/>
        <v>#DIV/0!</v>
      </c>
    </row>
    <row r="174" spans="1:27" x14ac:dyDescent="0.25">
      <c r="B174" s="303" t="s">
        <v>134</v>
      </c>
      <c r="C174" s="4">
        <f t="shared" ref="C174:AA174" si="53">C19*365*$C$13/1000*IF(C$26&lt;30,$C$167,IF(C$26&lt;40,$D$167,IF(C$26&lt;50,$E$167,IF(C$26&lt;60,$F$167,IF(C$26&lt;70,$G$167,$H$167)))))*$K$166</f>
        <v>0</v>
      </c>
      <c r="D174" s="4" t="e">
        <f t="shared" si="53"/>
        <v>#DIV/0!</v>
      </c>
      <c r="E174" s="4" t="e">
        <f t="shared" si="53"/>
        <v>#DIV/0!</v>
      </c>
      <c r="F174" s="4" t="e">
        <f t="shared" si="53"/>
        <v>#DIV/0!</v>
      </c>
      <c r="G174" s="4" t="e">
        <f t="shared" si="53"/>
        <v>#DIV/0!</v>
      </c>
      <c r="H174" s="4" t="e">
        <f t="shared" si="53"/>
        <v>#DIV/0!</v>
      </c>
      <c r="I174" s="4" t="e">
        <f t="shared" si="53"/>
        <v>#DIV/0!</v>
      </c>
      <c r="J174" s="4" t="e">
        <f t="shared" si="53"/>
        <v>#DIV/0!</v>
      </c>
      <c r="K174" s="4" t="e">
        <f t="shared" si="53"/>
        <v>#DIV/0!</v>
      </c>
      <c r="L174" s="4" t="e">
        <f t="shared" si="53"/>
        <v>#DIV/0!</v>
      </c>
      <c r="M174" s="4" t="e">
        <f t="shared" si="53"/>
        <v>#DIV/0!</v>
      </c>
      <c r="N174" s="4" t="e">
        <f t="shared" si="53"/>
        <v>#DIV/0!</v>
      </c>
      <c r="O174" s="4" t="e">
        <f t="shared" si="53"/>
        <v>#DIV/0!</v>
      </c>
      <c r="P174" s="4" t="e">
        <f t="shared" si="53"/>
        <v>#DIV/0!</v>
      </c>
      <c r="Q174" s="4" t="e">
        <f t="shared" si="53"/>
        <v>#DIV/0!</v>
      </c>
      <c r="R174" s="4" t="e">
        <f t="shared" si="53"/>
        <v>#DIV/0!</v>
      </c>
      <c r="S174" s="4" t="e">
        <f t="shared" si="53"/>
        <v>#DIV/0!</v>
      </c>
      <c r="T174" s="4" t="e">
        <f t="shared" si="53"/>
        <v>#DIV/0!</v>
      </c>
      <c r="U174" s="4" t="e">
        <f t="shared" si="53"/>
        <v>#DIV/0!</v>
      </c>
      <c r="V174" s="4" t="e">
        <f t="shared" si="53"/>
        <v>#DIV/0!</v>
      </c>
      <c r="W174" s="4" t="e">
        <f t="shared" si="53"/>
        <v>#DIV/0!</v>
      </c>
      <c r="X174" s="4" t="e">
        <f t="shared" si="53"/>
        <v>#DIV/0!</v>
      </c>
      <c r="Y174" s="4" t="e">
        <f t="shared" si="53"/>
        <v>#DIV/0!</v>
      </c>
      <c r="Z174" s="4" t="e">
        <f t="shared" si="53"/>
        <v>#DIV/0!</v>
      </c>
      <c r="AA174" s="4" t="e">
        <f t="shared" si="53"/>
        <v>#DIV/0!</v>
      </c>
    </row>
    <row r="175" spans="1:27" x14ac:dyDescent="0.25">
      <c r="B175" s="303" t="s">
        <v>135</v>
      </c>
      <c r="C175" s="4">
        <f t="shared" ref="C175:AA175" si="54">C20*365*$C$13/1000*IF(C$26&lt;30,$C$168,IF(C$26&lt;40,$D$168,IF(C$26&lt;50,$E$168,IF(C$26&lt;60,$F$168,IF(C$26&lt;70,$G$168,$H$168)))))*$K$166</f>
        <v>0</v>
      </c>
      <c r="D175" s="4" t="e">
        <f t="shared" si="54"/>
        <v>#DIV/0!</v>
      </c>
      <c r="E175" s="4" t="e">
        <f t="shared" si="54"/>
        <v>#DIV/0!</v>
      </c>
      <c r="F175" s="4" t="e">
        <f t="shared" si="54"/>
        <v>#DIV/0!</v>
      </c>
      <c r="G175" s="4" t="e">
        <f t="shared" si="54"/>
        <v>#DIV/0!</v>
      </c>
      <c r="H175" s="4" t="e">
        <f t="shared" si="54"/>
        <v>#DIV/0!</v>
      </c>
      <c r="I175" s="4" t="e">
        <f t="shared" si="54"/>
        <v>#DIV/0!</v>
      </c>
      <c r="J175" s="4" t="e">
        <f t="shared" si="54"/>
        <v>#DIV/0!</v>
      </c>
      <c r="K175" s="4" t="e">
        <f t="shared" si="54"/>
        <v>#DIV/0!</v>
      </c>
      <c r="L175" s="4" t="e">
        <f t="shared" si="54"/>
        <v>#DIV/0!</v>
      </c>
      <c r="M175" s="4" t="e">
        <f t="shared" si="54"/>
        <v>#DIV/0!</v>
      </c>
      <c r="N175" s="4" t="e">
        <f t="shared" si="54"/>
        <v>#DIV/0!</v>
      </c>
      <c r="O175" s="4" t="e">
        <f t="shared" si="54"/>
        <v>#DIV/0!</v>
      </c>
      <c r="P175" s="4" t="e">
        <f t="shared" si="54"/>
        <v>#DIV/0!</v>
      </c>
      <c r="Q175" s="4" t="e">
        <f t="shared" si="54"/>
        <v>#DIV/0!</v>
      </c>
      <c r="R175" s="4" t="e">
        <f t="shared" si="54"/>
        <v>#DIV/0!</v>
      </c>
      <c r="S175" s="4" t="e">
        <f t="shared" si="54"/>
        <v>#DIV/0!</v>
      </c>
      <c r="T175" s="4" t="e">
        <f t="shared" si="54"/>
        <v>#DIV/0!</v>
      </c>
      <c r="U175" s="4" t="e">
        <f t="shared" si="54"/>
        <v>#DIV/0!</v>
      </c>
      <c r="V175" s="4" t="e">
        <f t="shared" si="54"/>
        <v>#DIV/0!</v>
      </c>
      <c r="W175" s="4" t="e">
        <f t="shared" si="54"/>
        <v>#DIV/0!</v>
      </c>
      <c r="X175" s="4" t="e">
        <f t="shared" si="54"/>
        <v>#DIV/0!</v>
      </c>
      <c r="Y175" s="4" t="e">
        <f t="shared" si="54"/>
        <v>#DIV/0!</v>
      </c>
      <c r="Z175" s="4" t="e">
        <f t="shared" si="54"/>
        <v>#DIV/0!</v>
      </c>
      <c r="AA175" s="4" t="e">
        <f t="shared" si="54"/>
        <v>#DIV/0!</v>
      </c>
    </row>
    <row r="176" spans="1:27" ht="36" x14ac:dyDescent="0.35">
      <c r="B176" s="304" t="s">
        <v>178</v>
      </c>
      <c r="C176" s="32">
        <f>ROUND(SUM(C171:C175),2)</f>
        <v>0</v>
      </c>
      <c r="D176" s="32" t="e">
        <f t="shared" ref="D176:AA176" si="55">ROUND(SUM(D171:D175),2)</f>
        <v>#DIV/0!</v>
      </c>
      <c r="E176" s="32" t="e">
        <f t="shared" si="55"/>
        <v>#DIV/0!</v>
      </c>
      <c r="F176" s="32" t="e">
        <f t="shared" si="55"/>
        <v>#DIV/0!</v>
      </c>
      <c r="G176" s="32" t="e">
        <f t="shared" si="55"/>
        <v>#DIV/0!</v>
      </c>
      <c r="H176" s="32" t="e">
        <f t="shared" si="55"/>
        <v>#DIV/0!</v>
      </c>
      <c r="I176" s="32" t="e">
        <f t="shared" si="55"/>
        <v>#DIV/0!</v>
      </c>
      <c r="J176" s="32" t="e">
        <f t="shared" si="55"/>
        <v>#DIV/0!</v>
      </c>
      <c r="K176" s="32" t="e">
        <f t="shared" si="55"/>
        <v>#DIV/0!</v>
      </c>
      <c r="L176" s="32" t="e">
        <f t="shared" si="55"/>
        <v>#DIV/0!</v>
      </c>
      <c r="M176" s="32" t="e">
        <f t="shared" si="55"/>
        <v>#DIV/0!</v>
      </c>
      <c r="N176" s="32" t="e">
        <f t="shared" si="55"/>
        <v>#DIV/0!</v>
      </c>
      <c r="O176" s="32" t="e">
        <f t="shared" si="55"/>
        <v>#DIV/0!</v>
      </c>
      <c r="P176" s="32" t="e">
        <f t="shared" si="55"/>
        <v>#DIV/0!</v>
      </c>
      <c r="Q176" s="32" t="e">
        <f t="shared" si="55"/>
        <v>#DIV/0!</v>
      </c>
      <c r="R176" s="32" t="e">
        <f t="shared" si="55"/>
        <v>#DIV/0!</v>
      </c>
      <c r="S176" s="32" t="e">
        <f t="shared" si="55"/>
        <v>#DIV/0!</v>
      </c>
      <c r="T176" s="32" t="e">
        <f t="shared" si="55"/>
        <v>#DIV/0!</v>
      </c>
      <c r="U176" s="32" t="e">
        <f t="shared" si="55"/>
        <v>#DIV/0!</v>
      </c>
      <c r="V176" s="32" t="e">
        <f t="shared" si="55"/>
        <v>#DIV/0!</v>
      </c>
      <c r="W176" s="32" t="e">
        <f t="shared" si="55"/>
        <v>#DIV/0!</v>
      </c>
      <c r="X176" s="32" t="e">
        <f t="shared" si="55"/>
        <v>#DIV/0!</v>
      </c>
      <c r="Y176" s="32" t="e">
        <f t="shared" si="55"/>
        <v>#DIV/0!</v>
      </c>
      <c r="Z176" s="32" t="e">
        <f t="shared" si="55"/>
        <v>#DIV/0!</v>
      </c>
      <c r="AA176" s="32" t="e">
        <f t="shared" si="55"/>
        <v>#DIV/0!</v>
      </c>
    </row>
    <row r="177" spans="1:27" x14ac:dyDescent="0.25">
      <c r="B177" s="95"/>
    </row>
    <row r="178" spans="1:27" ht="33" customHeight="1" x14ac:dyDescent="0.25">
      <c r="A178" s="12"/>
      <c r="B178" s="555" t="s">
        <v>312</v>
      </c>
      <c r="C178" s="555"/>
      <c r="D178" s="555"/>
    </row>
    <row r="179" spans="1:27" x14ac:dyDescent="0.25">
      <c r="B179" s="95"/>
    </row>
    <row r="180" spans="1:27" ht="36" x14ac:dyDescent="0.35">
      <c r="B180" s="311" t="s">
        <v>179</v>
      </c>
      <c r="C180" s="53">
        <f t="shared" ref="C180:AA180" si="56">C15</f>
        <v>2016</v>
      </c>
      <c r="D180" s="53">
        <f t="shared" si="56"/>
        <v>2017</v>
      </c>
      <c r="E180" s="53">
        <f t="shared" si="56"/>
        <v>2018</v>
      </c>
      <c r="F180" s="53">
        <f t="shared" si="56"/>
        <v>2019</v>
      </c>
      <c r="G180" s="53">
        <f t="shared" si="56"/>
        <v>2020</v>
      </c>
      <c r="H180" s="53">
        <f t="shared" si="56"/>
        <v>2021</v>
      </c>
      <c r="I180" s="53">
        <f t="shared" si="56"/>
        <v>2022</v>
      </c>
      <c r="J180" s="53">
        <f t="shared" si="56"/>
        <v>2023</v>
      </c>
      <c r="K180" s="53">
        <f t="shared" si="56"/>
        <v>2024</v>
      </c>
      <c r="L180" s="53">
        <f t="shared" si="56"/>
        <v>2025</v>
      </c>
      <c r="M180" s="53">
        <f t="shared" si="56"/>
        <v>2026</v>
      </c>
      <c r="N180" s="53">
        <f t="shared" si="56"/>
        <v>2027</v>
      </c>
      <c r="O180" s="53">
        <f t="shared" si="56"/>
        <v>2028</v>
      </c>
      <c r="P180" s="53">
        <f t="shared" si="56"/>
        <v>2029</v>
      </c>
      <c r="Q180" s="53">
        <f t="shared" si="56"/>
        <v>2030</v>
      </c>
      <c r="R180" s="53">
        <f t="shared" si="56"/>
        <v>2031</v>
      </c>
      <c r="S180" s="53">
        <f t="shared" si="56"/>
        <v>2032</v>
      </c>
      <c r="T180" s="53">
        <f t="shared" si="56"/>
        <v>2033</v>
      </c>
      <c r="U180" s="53">
        <f t="shared" si="56"/>
        <v>2034</v>
      </c>
      <c r="V180" s="53">
        <f t="shared" si="56"/>
        <v>2035</v>
      </c>
      <c r="W180" s="53">
        <f t="shared" si="56"/>
        <v>2036</v>
      </c>
      <c r="X180" s="53">
        <f t="shared" si="56"/>
        <v>2037</v>
      </c>
      <c r="Y180" s="53">
        <f t="shared" si="56"/>
        <v>2038</v>
      </c>
      <c r="Z180" s="53">
        <f t="shared" si="56"/>
        <v>2039</v>
      </c>
      <c r="AA180" s="53">
        <f t="shared" si="56"/>
        <v>2040</v>
      </c>
    </row>
    <row r="181" spans="1:27" x14ac:dyDescent="0.25">
      <c r="B181" s="303" t="s">
        <v>131</v>
      </c>
      <c r="C181" s="4">
        <f>IF(C180-Założenia_Predpoklady!$C$4&lt;1,C171,C42*365*$C$39/1000*IF(C$52&lt;30,$C$164,IF(C$52&lt;40,$D$164,IF(C$52&lt;50,$E$164,IF(C$52&lt;60,$F$164,IF(C$52&lt;70,$G$164,$H$164)))))*$K$167)</f>
        <v>0</v>
      </c>
      <c r="D181" s="4" t="e">
        <f>IF(D180-Założenia_Predpoklady!$C$4&lt;1,D171,D42*365*$C$39/1000*IF(D$52&lt;30,$C$164,IF(D$52&lt;40,$D$164,IF(D$52&lt;50,$E$164,IF(D$52&lt;60,$F$164,IF(D$52&lt;70,$G$164,$H$164)))))*$K$167)</f>
        <v>#DIV/0!</v>
      </c>
      <c r="E181" s="4" t="e">
        <f>IF(E180-Założenia_Predpoklady!$C$4&lt;1,E171,E42*365*$C$39/1000*IF(E$52&lt;30,$C$164,IF(E$52&lt;40,$D$164,IF(E$52&lt;50,$E$164,IF(E$52&lt;60,$F$164,IF(E$52&lt;70,$G$164,$H$164)))))*$K$167)</f>
        <v>#DIV/0!</v>
      </c>
      <c r="F181" s="4" t="e">
        <f>IF(F180-Założenia_Predpoklady!$C$4&lt;1,F171,F42*365*$C$39/1000*IF(F$52&lt;30,$C$164,IF(F$52&lt;40,$D$164,IF(F$52&lt;50,$E$164,IF(F$52&lt;60,$F$164,IF(F$52&lt;70,$G$164,$H$164)))))*$K$167)</f>
        <v>#DIV/0!</v>
      </c>
      <c r="G181" s="4" t="e">
        <f>IF(G180-Założenia_Predpoklady!$C$4&lt;1,G171,G42*365*$C$39/1000*IF(G$52&lt;30,$C$164,IF(G$52&lt;40,$D$164,IF(G$52&lt;50,$E$164,IF(G$52&lt;60,$F$164,IF(G$52&lt;70,$G$164,$H$164)))))*$K$167)</f>
        <v>#DIV/0!</v>
      </c>
      <c r="H181" s="4" t="e">
        <f>IF(H180-Założenia_Predpoklady!$C$4&lt;1,H171,H42*365*$C$39/1000*IF(H$52&lt;30,$C$164,IF(H$52&lt;40,$D$164,IF(H$52&lt;50,$E$164,IF(H$52&lt;60,$F$164,IF(H$52&lt;70,$G$164,$H$164)))))*$K$167)</f>
        <v>#DIV/0!</v>
      </c>
      <c r="I181" s="4" t="e">
        <f>IF(I180-Założenia_Predpoklady!$C$4&lt;1,I171,I42*365*$C$39/1000*IF(I$52&lt;30,$C$164,IF(I$52&lt;40,$D$164,IF(I$52&lt;50,$E$164,IF(I$52&lt;60,$F$164,IF(I$52&lt;70,$G$164,$H$164)))))*$K$167)</f>
        <v>#DIV/0!</v>
      </c>
      <c r="J181" s="4" t="e">
        <f>IF(J180-Założenia_Predpoklady!$C$4&lt;1,J171,J42*365*$C$39/1000*IF(J$52&lt;30,$C$164,IF(J$52&lt;40,$D$164,IF(J$52&lt;50,$E$164,IF(J$52&lt;60,$F$164,IF(J$52&lt;70,$G$164,$H$164)))))*$K$167)</f>
        <v>#DIV/0!</v>
      </c>
      <c r="K181" s="4" t="e">
        <f>IF(K180-Założenia_Predpoklady!$C$4&lt;1,K171,K42*365*$C$39/1000*IF(K$52&lt;30,$C$164,IF(K$52&lt;40,$D$164,IF(K$52&lt;50,$E$164,IF(K$52&lt;60,$F$164,IF(K$52&lt;70,$G$164,$H$164)))))*$K$167)</f>
        <v>#DIV/0!</v>
      </c>
      <c r="L181" s="4" t="e">
        <f>IF(L180-Założenia_Predpoklady!$C$4&lt;1,L171,L42*365*$C$39/1000*IF(L$52&lt;30,$C$164,IF(L$52&lt;40,$D$164,IF(L$52&lt;50,$E$164,IF(L$52&lt;60,$F$164,IF(L$52&lt;70,$G$164,$H$164)))))*$K$167)</f>
        <v>#DIV/0!</v>
      </c>
      <c r="M181" s="4" t="e">
        <f>IF(M180-Założenia_Predpoklady!$C$4&lt;1,M171,M42*365*$C$39/1000*IF(M$52&lt;30,$C$164,IF(M$52&lt;40,$D$164,IF(M$52&lt;50,$E$164,IF(M$52&lt;60,$F$164,IF(M$52&lt;70,$G$164,$H$164)))))*$K$167)</f>
        <v>#DIV/0!</v>
      </c>
      <c r="N181" s="4" t="e">
        <f>IF(N180-Założenia_Predpoklady!$C$4&lt;1,N171,N42*365*$C$39/1000*IF(N$52&lt;30,$C$164,IF(N$52&lt;40,$D$164,IF(N$52&lt;50,$E$164,IF(N$52&lt;60,$F$164,IF(N$52&lt;70,$G$164,$H$164)))))*$K$167)</f>
        <v>#DIV/0!</v>
      </c>
      <c r="O181" s="4" t="e">
        <f>IF(O180-Założenia_Predpoklady!$C$4&lt;1,O171,O42*365*$C$39/1000*IF(O$52&lt;30,$C$164,IF(O$52&lt;40,$D$164,IF(O$52&lt;50,$E$164,IF(O$52&lt;60,$F$164,IF(O$52&lt;70,$G$164,$H$164)))))*$K$167)</f>
        <v>#DIV/0!</v>
      </c>
      <c r="P181" s="4" t="e">
        <f>IF(P180-Założenia_Predpoklady!$C$4&lt;1,P171,P42*365*$C$39/1000*IF(P$52&lt;30,$C$164,IF(P$52&lt;40,$D$164,IF(P$52&lt;50,$E$164,IF(P$52&lt;60,$F$164,IF(P$52&lt;70,$G$164,$H$164)))))*$K$167)</f>
        <v>#DIV/0!</v>
      </c>
      <c r="Q181" s="4" t="e">
        <f>IF(Q180-Założenia_Predpoklady!$C$4&lt;1,Q171,Q42*365*$C$39/1000*IF(Q$52&lt;30,$C$164,IF(Q$52&lt;40,$D$164,IF(Q$52&lt;50,$E$164,IF(Q$52&lt;60,$F$164,IF(Q$52&lt;70,$G$164,$H$164)))))*$K$167)</f>
        <v>#DIV/0!</v>
      </c>
      <c r="R181" s="4" t="e">
        <f>IF(R180-Założenia_Predpoklady!$C$4&lt;1,R171,R42*365*$C$39/1000*IF(R$52&lt;30,$C$164,IF(R$52&lt;40,$D$164,IF(R$52&lt;50,$E$164,IF(R$52&lt;60,$F$164,IF(R$52&lt;70,$G$164,$H$164)))))*$K$167)</f>
        <v>#DIV/0!</v>
      </c>
      <c r="S181" s="4" t="e">
        <f>IF(S180-Założenia_Predpoklady!$C$4&lt;1,S171,S42*365*$C$39/1000*IF(S$52&lt;30,$C$164,IF(S$52&lt;40,$D$164,IF(S$52&lt;50,$E$164,IF(S$52&lt;60,$F$164,IF(S$52&lt;70,$G$164,$H$164)))))*$K$167)</f>
        <v>#DIV/0!</v>
      </c>
      <c r="T181" s="4" t="e">
        <f>IF(T180-Założenia_Predpoklady!$C$4&lt;1,T171,T42*365*$C$39/1000*IF(T$52&lt;30,$C$164,IF(T$52&lt;40,$D$164,IF(T$52&lt;50,$E$164,IF(T$52&lt;60,$F$164,IF(T$52&lt;70,$G$164,$H$164)))))*$K$167)</f>
        <v>#DIV/0!</v>
      </c>
      <c r="U181" s="4" t="e">
        <f>IF(U180-Założenia_Predpoklady!$C$4&lt;1,U171,U42*365*$C$39/1000*IF(U$52&lt;30,$C$164,IF(U$52&lt;40,$D$164,IF(U$52&lt;50,$E$164,IF(U$52&lt;60,$F$164,IF(U$52&lt;70,$G$164,$H$164)))))*$K$167)</f>
        <v>#DIV/0!</v>
      </c>
      <c r="V181" s="4" t="e">
        <f>IF(V180-Założenia_Predpoklady!$C$4&lt;1,V171,V42*365*$C$39/1000*IF(V$52&lt;30,$C$164,IF(V$52&lt;40,$D$164,IF(V$52&lt;50,$E$164,IF(V$52&lt;60,$F$164,IF(V$52&lt;70,$G$164,$H$164)))))*$K$167)</f>
        <v>#DIV/0!</v>
      </c>
      <c r="W181" s="4" t="e">
        <f>IF(W180-Założenia_Predpoklady!$C$4&lt;1,W171,W42*365*$C$39/1000*IF(W$52&lt;30,$C$164,IF(W$52&lt;40,$D$164,IF(W$52&lt;50,$E$164,IF(W$52&lt;60,$F$164,IF(W$52&lt;70,$G$164,$H$164)))))*$K$167)</f>
        <v>#DIV/0!</v>
      </c>
      <c r="X181" s="4" t="e">
        <f>IF(X180-Założenia_Predpoklady!$C$4&lt;1,X171,X42*365*$C$39/1000*IF(X$52&lt;30,$C$164,IF(X$52&lt;40,$D$164,IF(X$52&lt;50,$E$164,IF(X$52&lt;60,$F$164,IF(X$52&lt;70,$G$164,$H$164)))))*$K$167)</f>
        <v>#DIV/0!</v>
      </c>
      <c r="Y181" s="4" t="e">
        <f>IF(Y180-Założenia_Predpoklady!$C$4&lt;1,Y171,Y42*365*$C$39/1000*IF(Y$52&lt;30,$C$164,IF(Y$52&lt;40,$D$164,IF(Y$52&lt;50,$E$164,IF(Y$52&lt;60,$F$164,IF(Y$52&lt;70,$G$164,$H$164)))))*$K$167)</f>
        <v>#DIV/0!</v>
      </c>
      <c r="Z181" s="4" t="e">
        <f>IF(Z180-Założenia_Predpoklady!$C$4&lt;1,Z171,Z42*365*$C$39/1000*IF(Z$52&lt;30,$C$164,IF(Z$52&lt;40,$D$164,IF(Z$52&lt;50,$E$164,IF(Z$52&lt;60,$F$164,IF(Z$52&lt;70,$G$164,$H$164)))))*$K$167)</f>
        <v>#DIV/0!</v>
      </c>
      <c r="AA181" s="4" t="e">
        <f>IF(AA180-Założenia_Predpoklady!$C$4&lt;1,AA171,AA42*365*$C$39/1000*IF(AA$52&lt;30,$C$164,IF(AA$52&lt;40,$D$164,IF(AA$52&lt;50,$E$164,IF(AA$52&lt;60,$F$164,IF(AA$52&lt;70,$G$164,$H$164)))))*$K$167)</f>
        <v>#DIV/0!</v>
      </c>
    </row>
    <row r="182" spans="1:27" x14ac:dyDescent="0.25">
      <c r="B182" s="303" t="s">
        <v>132</v>
      </c>
      <c r="C182" s="4">
        <f>IF(C180-Założenia_Predpoklady!$C$4&lt;1,C172,C43*365*$C$39/1000*IF(C$52&lt;30,$C$165,IF(C$52&lt;40,$D$165,IF(C$52&lt;50,$E$165,IF(C$52&lt;60,$F$165,IF(C$52&lt;70,$G$165,$H$165)))))*$K$167)</f>
        <v>0</v>
      </c>
      <c r="D182" s="4" t="e">
        <f>IF(D180-Założenia_Predpoklady!$C$4&lt;1,D172,D43*365*$C$39/1000*IF(D$52&lt;30,$C$165,IF(D$52&lt;40,$D$165,IF(D$52&lt;50,$E$165,IF(D$52&lt;60,$F$165,IF(D$52&lt;70,$G$165,$H$165)))))*$K$167)</f>
        <v>#DIV/0!</v>
      </c>
      <c r="E182" s="4" t="e">
        <f>IF(E180-Założenia_Predpoklady!$C$4&lt;1,E172,E43*365*$C$39/1000*IF(E$52&lt;30,$C$165,IF(E$52&lt;40,$D$165,IF(E$52&lt;50,$E$165,IF(E$52&lt;60,$F$165,IF(E$52&lt;70,$G$165,$H$165)))))*$K$167)</f>
        <v>#DIV/0!</v>
      </c>
      <c r="F182" s="4" t="e">
        <f>IF(F180-Założenia_Predpoklady!$C$4&lt;1,F172,F43*365*$C$39/1000*IF(F$52&lt;30,$C$165,IF(F$52&lt;40,$D$165,IF(F$52&lt;50,$E$165,IF(F$52&lt;60,$F$165,IF(F$52&lt;70,$G$165,$H$165)))))*$K$167)</f>
        <v>#DIV/0!</v>
      </c>
      <c r="G182" s="4" t="e">
        <f>IF(G180-Założenia_Predpoklady!$C$4&lt;1,G172,G43*365*$C$39/1000*IF(G$52&lt;30,$C$165,IF(G$52&lt;40,$D$165,IF(G$52&lt;50,$E$165,IF(G$52&lt;60,$F$165,IF(G$52&lt;70,$G$165,$H$165)))))*$K$167)</f>
        <v>#DIV/0!</v>
      </c>
      <c r="H182" s="4" t="e">
        <f>IF(H180-Założenia_Predpoklady!$C$4&lt;1,H172,H43*365*$C$39/1000*IF(H$52&lt;30,$C$165,IF(H$52&lt;40,$D$165,IF(H$52&lt;50,$E$165,IF(H$52&lt;60,$F$165,IF(H$52&lt;70,$G$165,$H$165)))))*$K$167)</f>
        <v>#DIV/0!</v>
      </c>
      <c r="I182" s="4" t="e">
        <f>IF(I180-Założenia_Predpoklady!$C$4&lt;1,I172,I43*365*$C$39/1000*IF(I$52&lt;30,$C$165,IF(I$52&lt;40,$D$165,IF(I$52&lt;50,$E$165,IF(I$52&lt;60,$F$165,IF(I$52&lt;70,$G$165,$H$165)))))*$K$167)</f>
        <v>#DIV/0!</v>
      </c>
      <c r="J182" s="4" t="e">
        <f>IF(J180-Założenia_Predpoklady!$C$4&lt;1,J172,J43*365*$C$39/1000*IF(J$52&lt;30,$C$165,IF(J$52&lt;40,$D$165,IF(J$52&lt;50,$E$165,IF(J$52&lt;60,$F$165,IF(J$52&lt;70,$G$165,$H$165)))))*$K$167)</f>
        <v>#DIV/0!</v>
      </c>
      <c r="K182" s="4" t="e">
        <f>IF(K180-Założenia_Predpoklady!$C$4&lt;1,K172,K43*365*$C$39/1000*IF(K$52&lt;30,$C$165,IF(K$52&lt;40,$D$165,IF(K$52&lt;50,$E$165,IF(K$52&lt;60,$F$165,IF(K$52&lt;70,$G$165,$H$165)))))*$K$167)</f>
        <v>#DIV/0!</v>
      </c>
      <c r="L182" s="4" t="e">
        <f>IF(L180-Założenia_Predpoklady!$C$4&lt;1,L172,L43*365*$C$39/1000*IF(L$52&lt;30,$C$165,IF(L$52&lt;40,$D$165,IF(L$52&lt;50,$E$165,IF(L$52&lt;60,$F$165,IF(L$52&lt;70,$G$165,$H$165)))))*$K$167)</f>
        <v>#DIV/0!</v>
      </c>
      <c r="M182" s="4" t="e">
        <f>IF(M180-Założenia_Predpoklady!$C$4&lt;1,M172,M43*365*$C$39/1000*IF(M$52&lt;30,$C$165,IF(M$52&lt;40,$D$165,IF(M$52&lt;50,$E$165,IF(M$52&lt;60,$F$165,IF(M$52&lt;70,$G$165,$H$165)))))*$K$167)</f>
        <v>#DIV/0!</v>
      </c>
      <c r="N182" s="4" t="e">
        <f>IF(N180-Założenia_Predpoklady!$C$4&lt;1,N172,N43*365*$C$39/1000*IF(N$52&lt;30,$C$165,IF(N$52&lt;40,$D$165,IF(N$52&lt;50,$E$165,IF(N$52&lt;60,$F$165,IF(N$52&lt;70,$G$165,$H$165)))))*$K$167)</f>
        <v>#DIV/0!</v>
      </c>
      <c r="O182" s="4" t="e">
        <f>IF(O180-Założenia_Predpoklady!$C$4&lt;1,O172,O43*365*$C$39/1000*IF(O$52&lt;30,$C$165,IF(O$52&lt;40,$D$165,IF(O$52&lt;50,$E$165,IF(O$52&lt;60,$F$165,IF(O$52&lt;70,$G$165,$H$165)))))*$K$167)</f>
        <v>#DIV/0!</v>
      </c>
      <c r="P182" s="4" t="e">
        <f>IF(P180-Założenia_Predpoklady!$C$4&lt;1,P172,P43*365*$C$39/1000*IF(P$52&lt;30,$C$165,IF(P$52&lt;40,$D$165,IF(P$52&lt;50,$E$165,IF(P$52&lt;60,$F$165,IF(P$52&lt;70,$G$165,$H$165)))))*$K$167)</f>
        <v>#DIV/0!</v>
      </c>
      <c r="Q182" s="4" t="e">
        <f>IF(Q180-Założenia_Predpoklady!$C$4&lt;1,Q172,Q43*365*$C$39/1000*IF(Q$52&lt;30,$C$165,IF(Q$52&lt;40,$D$165,IF(Q$52&lt;50,$E$165,IF(Q$52&lt;60,$F$165,IF(Q$52&lt;70,$G$165,$H$165)))))*$K$167)</f>
        <v>#DIV/0!</v>
      </c>
      <c r="R182" s="4" t="e">
        <f>IF(R180-Założenia_Predpoklady!$C$4&lt;1,R172,R43*365*$C$39/1000*IF(R$52&lt;30,$C$165,IF(R$52&lt;40,$D$165,IF(R$52&lt;50,$E$165,IF(R$52&lt;60,$F$165,IF(R$52&lt;70,$G$165,$H$165)))))*$K$167)</f>
        <v>#DIV/0!</v>
      </c>
      <c r="S182" s="4" t="e">
        <f>IF(S180-Założenia_Predpoklady!$C$4&lt;1,S172,S43*365*$C$39/1000*IF(S$52&lt;30,$C$165,IF(S$52&lt;40,$D$165,IF(S$52&lt;50,$E$165,IF(S$52&lt;60,$F$165,IF(S$52&lt;70,$G$165,$H$165)))))*$K$167)</f>
        <v>#DIV/0!</v>
      </c>
      <c r="T182" s="4" t="e">
        <f>IF(T180-Założenia_Predpoklady!$C$4&lt;1,T172,T43*365*$C$39/1000*IF(T$52&lt;30,$C$165,IF(T$52&lt;40,$D$165,IF(T$52&lt;50,$E$165,IF(T$52&lt;60,$F$165,IF(T$52&lt;70,$G$165,$H$165)))))*$K$167)</f>
        <v>#DIV/0!</v>
      </c>
      <c r="U182" s="4" t="e">
        <f>IF(U180-Założenia_Predpoklady!$C$4&lt;1,U172,U43*365*$C$39/1000*IF(U$52&lt;30,$C$165,IF(U$52&lt;40,$D$165,IF(U$52&lt;50,$E$165,IF(U$52&lt;60,$F$165,IF(U$52&lt;70,$G$165,$H$165)))))*$K$167)</f>
        <v>#DIV/0!</v>
      </c>
      <c r="V182" s="4" t="e">
        <f>IF(V180-Założenia_Predpoklady!$C$4&lt;1,V172,V43*365*$C$39/1000*IF(V$52&lt;30,$C$165,IF(V$52&lt;40,$D$165,IF(V$52&lt;50,$E$165,IF(V$52&lt;60,$F$165,IF(V$52&lt;70,$G$165,$H$165)))))*$K$167)</f>
        <v>#DIV/0!</v>
      </c>
      <c r="W182" s="4" t="e">
        <f>IF(W180-Założenia_Predpoklady!$C$4&lt;1,W172,W43*365*$C$39/1000*IF(W$52&lt;30,$C$165,IF(W$52&lt;40,$D$165,IF(W$52&lt;50,$E$165,IF(W$52&lt;60,$F$165,IF(W$52&lt;70,$G$165,$H$165)))))*$K$167)</f>
        <v>#DIV/0!</v>
      </c>
      <c r="X182" s="4" t="e">
        <f>IF(X180-Założenia_Predpoklady!$C$4&lt;1,X172,X43*365*$C$39/1000*IF(X$52&lt;30,$C$165,IF(X$52&lt;40,$D$165,IF(X$52&lt;50,$E$165,IF(X$52&lt;60,$F$165,IF(X$52&lt;70,$G$165,$H$165)))))*$K$167)</f>
        <v>#DIV/0!</v>
      </c>
      <c r="Y182" s="4" t="e">
        <f>IF(Y180-Założenia_Predpoklady!$C$4&lt;1,Y172,Y43*365*$C$39/1000*IF(Y$52&lt;30,$C$165,IF(Y$52&lt;40,$D$165,IF(Y$52&lt;50,$E$165,IF(Y$52&lt;60,$F$165,IF(Y$52&lt;70,$G$165,$H$165)))))*$K$167)</f>
        <v>#DIV/0!</v>
      </c>
      <c r="Z182" s="4" t="e">
        <f>IF(Z180-Założenia_Predpoklady!$C$4&lt;1,Z172,Z43*365*$C$39/1000*IF(Z$52&lt;30,$C$165,IF(Z$52&lt;40,$D$165,IF(Z$52&lt;50,$E$165,IF(Z$52&lt;60,$F$165,IF(Z$52&lt;70,$G$165,$H$165)))))*$K$167)</f>
        <v>#DIV/0!</v>
      </c>
      <c r="AA182" s="4" t="e">
        <f>IF(AA180-Założenia_Predpoklady!$C$4&lt;1,AA172,AA43*365*$C$39/1000*IF(AA$52&lt;30,$C$165,IF(AA$52&lt;40,$D$165,IF(AA$52&lt;50,$E$165,IF(AA$52&lt;60,$F$165,IF(AA$52&lt;70,$G$165,$H$165)))))*$K$167)</f>
        <v>#DIV/0!</v>
      </c>
    </row>
    <row r="183" spans="1:27" x14ac:dyDescent="0.25">
      <c r="B183" s="303" t="s">
        <v>133</v>
      </c>
      <c r="C183" s="4">
        <f>IF(C180-Założenia_Predpoklady!$C$4&lt;1,C173,C44*365*$C$39/1000*IF(C$53&lt;30,$C$166,IF(C$53&lt;40,$D$166,IF(C$53&lt;50,$E$166,IF(C$53&lt;60,$F$166,IF(C$53&lt;70,$G$166,$H$166)))))*$K$167)</f>
        <v>0</v>
      </c>
      <c r="D183" s="4" t="e">
        <f>IF(D180-Założenia_Predpoklady!$C$4&lt;1,D173,D44*365*$C$39/1000*IF(D$53&lt;30,$C$166,IF(D$53&lt;40,$D$166,IF(D$53&lt;50,$E$166,IF(D$53&lt;60,$F$166,IF(D$53&lt;70,$G$166,$H$166)))))*$K$167)</f>
        <v>#DIV/0!</v>
      </c>
      <c r="E183" s="4" t="e">
        <f>IF(E180-Założenia_Predpoklady!$C$4&lt;1,E173,E44*365*$C$39/1000*IF(E$53&lt;30,$C$166,IF(E$53&lt;40,$D$166,IF(E$53&lt;50,$E$166,IF(E$53&lt;60,$F$166,IF(E$53&lt;70,$G$166,$H$166)))))*$K$167)</f>
        <v>#DIV/0!</v>
      </c>
      <c r="F183" s="4" t="e">
        <f>IF(F180-Założenia_Predpoklady!$C$4&lt;1,F173,F44*365*$C$39/1000*IF(F$53&lt;30,$C$166,IF(F$53&lt;40,$D$166,IF(F$53&lt;50,$E$166,IF(F$53&lt;60,$F$166,IF(F$53&lt;70,$G$166,$H$166)))))*$K$167)</f>
        <v>#DIV/0!</v>
      </c>
      <c r="G183" s="4" t="e">
        <f>IF(G180-Założenia_Predpoklady!$C$4&lt;1,G173,G44*365*$C$39/1000*IF(G$53&lt;30,$C$166,IF(G$53&lt;40,$D$166,IF(G$53&lt;50,$E$166,IF(G$53&lt;60,$F$166,IF(G$53&lt;70,$G$166,$H$166)))))*$K$167)</f>
        <v>#DIV/0!</v>
      </c>
      <c r="H183" s="4" t="e">
        <f>IF(H180-Założenia_Predpoklady!$C$4&lt;1,H173,H44*365*$C$39/1000*IF(H$53&lt;30,$C$166,IF(H$53&lt;40,$D$166,IF(H$53&lt;50,$E$166,IF(H$53&lt;60,$F$166,IF(H$53&lt;70,$G$166,$H$166)))))*$K$167)</f>
        <v>#DIV/0!</v>
      </c>
      <c r="I183" s="4" t="e">
        <f>IF(I180-Założenia_Predpoklady!$C$4&lt;1,I173,I44*365*$C$39/1000*IF(I$53&lt;30,$C$166,IF(I$53&lt;40,$D$166,IF(I$53&lt;50,$E$166,IF(I$53&lt;60,$F$166,IF(I$53&lt;70,$G$166,$H$166)))))*$K$167)</f>
        <v>#DIV/0!</v>
      </c>
      <c r="J183" s="4" t="e">
        <f>IF(J180-Założenia_Predpoklady!$C$4&lt;1,J173,J44*365*$C$39/1000*IF(J$53&lt;30,$C$166,IF(J$53&lt;40,$D$166,IF(J$53&lt;50,$E$166,IF(J$53&lt;60,$F$166,IF(J$53&lt;70,$G$166,$H$166)))))*$K$167)</f>
        <v>#DIV/0!</v>
      </c>
      <c r="K183" s="4" t="e">
        <f>IF(K180-Założenia_Predpoklady!$C$4&lt;1,K173,K44*365*$C$39/1000*IF(K$53&lt;30,$C$166,IF(K$53&lt;40,$D$166,IF(K$53&lt;50,$E$166,IF(K$53&lt;60,$F$166,IF(K$53&lt;70,$G$166,$H$166)))))*$K$167)</f>
        <v>#DIV/0!</v>
      </c>
      <c r="L183" s="4" t="e">
        <f>IF(L180-Założenia_Predpoklady!$C$4&lt;1,L173,L44*365*$C$39/1000*IF(L$53&lt;30,$C$166,IF(L$53&lt;40,$D$166,IF(L$53&lt;50,$E$166,IF(L$53&lt;60,$F$166,IF(L$53&lt;70,$G$166,$H$166)))))*$K$167)</f>
        <v>#DIV/0!</v>
      </c>
      <c r="M183" s="4" t="e">
        <f>IF(M180-Założenia_Predpoklady!$C$4&lt;1,M173,M44*365*$C$39/1000*IF(M$53&lt;30,$C$166,IF(M$53&lt;40,$D$166,IF(M$53&lt;50,$E$166,IF(M$53&lt;60,$F$166,IF(M$53&lt;70,$G$166,$H$166)))))*$K$167)</f>
        <v>#DIV/0!</v>
      </c>
      <c r="N183" s="4" t="e">
        <f>IF(N180-Założenia_Predpoklady!$C$4&lt;1,N173,N44*365*$C$39/1000*IF(N$53&lt;30,$C$166,IF(N$53&lt;40,$D$166,IF(N$53&lt;50,$E$166,IF(N$53&lt;60,$F$166,IF(N$53&lt;70,$G$166,$H$166)))))*$K$167)</f>
        <v>#DIV/0!</v>
      </c>
      <c r="O183" s="4" t="e">
        <f>IF(O180-Założenia_Predpoklady!$C$4&lt;1,O173,O44*365*$C$39/1000*IF(O$53&lt;30,$C$166,IF(O$53&lt;40,$D$166,IF(O$53&lt;50,$E$166,IF(O$53&lt;60,$F$166,IF(O$53&lt;70,$G$166,$H$166)))))*$K$167)</f>
        <v>#DIV/0!</v>
      </c>
      <c r="P183" s="4" t="e">
        <f>IF(P180-Założenia_Predpoklady!$C$4&lt;1,P173,P44*365*$C$39/1000*IF(P$53&lt;30,$C$166,IF(P$53&lt;40,$D$166,IF(P$53&lt;50,$E$166,IF(P$53&lt;60,$F$166,IF(P$53&lt;70,$G$166,$H$166)))))*$K$167)</f>
        <v>#DIV/0!</v>
      </c>
      <c r="Q183" s="4" t="e">
        <f>IF(Q180-Założenia_Predpoklady!$C$4&lt;1,Q173,Q44*365*$C$39/1000*IF(Q$53&lt;30,$C$166,IF(Q$53&lt;40,$D$166,IF(Q$53&lt;50,$E$166,IF(Q$53&lt;60,$F$166,IF(Q$53&lt;70,$G$166,$H$166)))))*$K$167)</f>
        <v>#DIV/0!</v>
      </c>
      <c r="R183" s="4" t="e">
        <f>IF(R180-Założenia_Predpoklady!$C$4&lt;1,R173,R44*365*$C$39/1000*IF(R$53&lt;30,$C$166,IF(R$53&lt;40,$D$166,IF(R$53&lt;50,$E$166,IF(R$53&lt;60,$F$166,IF(R$53&lt;70,$G$166,$H$166)))))*$K$167)</f>
        <v>#DIV/0!</v>
      </c>
      <c r="S183" s="4" t="e">
        <f>IF(S180-Założenia_Predpoklady!$C$4&lt;1,S173,S44*365*$C$39/1000*IF(S$53&lt;30,$C$166,IF(S$53&lt;40,$D$166,IF(S$53&lt;50,$E$166,IF(S$53&lt;60,$F$166,IF(S$53&lt;70,$G$166,$H$166)))))*$K$167)</f>
        <v>#DIV/0!</v>
      </c>
      <c r="T183" s="4" t="e">
        <f>IF(T180-Założenia_Predpoklady!$C$4&lt;1,T173,T44*365*$C$39/1000*IF(T$53&lt;30,$C$166,IF(T$53&lt;40,$D$166,IF(T$53&lt;50,$E$166,IF(T$53&lt;60,$F$166,IF(T$53&lt;70,$G$166,$H$166)))))*$K$167)</f>
        <v>#DIV/0!</v>
      </c>
      <c r="U183" s="4" t="e">
        <f>IF(U180-Założenia_Predpoklady!$C$4&lt;1,U173,U44*365*$C$39/1000*IF(U$53&lt;30,$C$166,IF(U$53&lt;40,$D$166,IF(U$53&lt;50,$E$166,IF(U$53&lt;60,$F$166,IF(U$53&lt;70,$G$166,$H$166)))))*$K$167)</f>
        <v>#DIV/0!</v>
      </c>
      <c r="V183" s="4" t="e">
        <f>IF(V180-Założenia_Predpoklady!$C$4&lt;1,V173,V44*365*$C$39/1000*IF(V$53&lt;30,$C$166,IF(V$53&lt;40,$D$166,IF(V$53&lt;50,$E$166,IF(V$53&lt;60,$F$166,IF(V$53&lt;70,$G$166,$H$166)))))*$K$167)</f>
        <v>#DIV/0!</v>
      </c>
      <c r="W183" s="4" t="e">
        <f>IF(W180-Założenia_Predpoklady!$C$4&lt;1,W173,W44*365*$C$39/1000*IF(W$53&lt;30,$C$166,IF(W$53&lt;40,$D$166,IF(W$53&lt;50,$E$166,IF(W$53&lt;60,$F$166,IF(W$53&lt;70,$G$166,$H$166)))))*$K$167)</f>
        <v>#DIV/0!</v>
      </c>
      <c r="X183" s="4" t="e">
        <f>IF(X180-Założenia_Predpoklady!$C$4&lt;1,X173,X44*365*$C$39/1000*IF(X$53&lt;30,$C$166,IF(X$53&lt;40,$D$166,IF(X$53&lt;50,$E$166,IF(X$53&lt;60,$F$166,IF(X$53&lt;70,$G$166,$H$166)))))*$K$167)</f>
        <v>#DIV/0!</v>
      </c>
      <c r="Y183" s="4" t="e">
        <f>IF(Y180-Założenia_Predpoklady!$C$4&lt;1,Y173,Y44*365*$C$39/1000*IF(Y$53&lt;30,$C$166,IF(Y$53&lt;40,$D$166,IF(Y$53&lt;50,$E$166,IF(Y$53&lt;60,$F$166,IF(Y$53&lt;70,$G$166,$H$166)))))*$K$167)</f>
        <v>#DIV/0!</v>
      </c>
      <c r="Z183" s="4" t="e">
        <f>IF(Z180-Założenia_Predpoklady!$C$4&lt;1,Z173,Z44*365*$C$39/1000*IF(Z$53&lt;30,$C$166,IF(Z$53&lt;40,$D$166,IF(Z$53&lt;50,$E$166,IF(Z$53&lt;60,$F$166,IF(Z$53&lt;70,$G$166,$H$166)))))*$K$167)</f>
        <v>#DIV/0!</v>
      </c>
      <c r="AA183" s="4" t="e">
        <f>IF(AA180-Założenia_Predpoklady!$C$4&lt;1,AA173,AA44*365*$C$39/1000*IF(AA$53&lt;30,$C$166,IF(AA$53&lt;40,$D$166,IF(AA$53&lt;50,$E$166,IF(AA$53&lt;60,$F$166,IF(AA$53&lt;70,$G$166,$H$166)))))*$K$167)</f>
        <v>#DIV/0!</v>
      </c>
    </row>
    <row r="184" spans="1:27" x14ac:dyDescent="0.25">
      <c r="B184" s="303" t="s">
        <v>134</v>
      </c>
      <c r="C184" s="4">
        <f>IF(C180-Założenia_Predpoklady!$C$4&lt;1,C174,C45*365*$C$39/1000*IF(C$53&lt;30,$C$167,IF(C$53&lt;40,$D$167,IF(C$53&lt;50,$E$167,IF(C$53&lt;60,$F$167,IF(C$53&lt;70,$G$167,$H$167)))))*$K$167)</f>
        <v>0</v>
      </c>
      <c r="D184" s="4" t="e">
        <f>IF(D180-Założenia_Predpoklady!$C$4&lt;1,D174,D45*365*$C$39/1000*IF(D$53&lt;30,$C$167,IF(D$53&lt;40,$D$167,IF(D$53&lt;50,$E$167,IF(D$53&lt;60,$F$167,IF(D$53&lt;70,$G$167,$H$167)))))*$K$167)</f>
        <v>#DIV/0!</v>
      </c>
      <c r="E184" s="4" t="e">
        <f>IF(E180-Założenia_Predpoklady!$C$4&lt;1,E174,E45*365*$C$39/1000*IF(E$53&lt;30,$C$167,IF(E$53&lt;40,$D$167,IF(E$53&lt;50,$E$167,IF(E$53&lt;60,$F$167,IF(E$53&lt;70,$G$167,$H$167)))))*$K$167)</f>
        <v>#DIV/0!</v>
      </c>
      <c r="F184" s="4" t="e">
        <f>IF(F180-Założenia_Predpoklady!$C$4&lt;1,F174,F45*365*$C$39/1000*IF(F$53&lt;30,$C$167,IF(F$53&lt;40,$D$167,IF(F$53&lt;50,$E$167,IF(F$53&lt;60,$F$167,IF(F$53&lt;70,$G$167,$H$167)))))*$K$167)</f>
        <v>#DIV/0!</v>
      </c>
      <c r="G184" s="4" t="e">
        <f>IF(G180-Założenia_Predpoklady!$C$4&lt;1,G174,G45*365*$C$39/1000*IF(G$53&lt;30,$C$167,IF(G$53&lt;40,$D$167,IF(G$53&lt;50,$E$167,IF(G$53&lt;60,$F$167,IF(G$53&lt;70,$G$167,$H$167)))))*$K$167)</f>
        <v>#DIV/0!</v>
      </c>
      <c r="H184" s="4" t="e">
        <f>IF(H180-Założenia_Predpoklady!$C$4&lt;1,H174,H45*365*$C$39/1000*IF(H$53&lt;30,$C$167,IF(H$53&lt;40,$D$167,IF(H$53&lt;50,$E$167,IF(H$53&lt;60,$F$167,IF(H$53&lt;70,$G$167,$H$167)))))*$K$167)</f>
        <v>#DIV/0!</v>
      </c>
      <c r="I184" s="4" t="e">
        <f>IF(I180-Założenia_Predpoklady!$C$4&lt;1,I174,I45*365*$C$39/1000*IF(I$53&lt;30,$C$167,IF(I$53&lt;40,$D$167,IF(I$53&lt;50,$E$167,IF(I$53&lt;60,$F$167,IF(I$53&lt;70,$G$167,$H$167)))))*$K$167)</f>
        <v>#DIV/0!</v>
      </c>
      <c r="J184" s="4" t="e">
        <f>IF(J180-Założenia_Predpoklady!$C$4&lt;1,J174,J45*365*$C$39/1000*IF(J$53&lt;30,$C$167,IF(J$53&lt;40,$D$167,IF(J$53&lt;50,$E$167,IF(J$53&lt;60,$F$167,IF(J$53&lt;70,$G$167,$H$167)))))*$K$167)</f>
        <v>#DIV/0!</v>
      </c>
      <c r="K184" s="4" t="e">
        <f>IF(K180-Założenia_Predpoklady!$C$4&lt;1,K174,K45*365*$C$39/1000*IF(K$53&lt;30,$C$167,IF(K$53&lt;40,$D$167,IF(K$53&lt;50,$E$167,IF(K$53&lt;60,$F$167,IF(K$53&lt;70,$G$167,$H$167)))))*$K$167)</f>
        <v>#DIV/0!</v>
      </c>
      <c r="L184" s="4" t="e">
        <f>IF(L180-Założenia_Predpoklady!$C$4&lt;1,L174,L45*365*$C$39/1000*IF(L$53&lt;30,$C$167,IF(L$53&lt;40,$D$167,IF(L$53&lt;50,$E$167,IF(L$53&lt;60,$F$167,IF(L$53&lt;70,$G$167,$H$167)))))*$K$167)</f>
        <v>#DIV/0!</v>
      </c>
      <c r="M184" s="4" t="e">
        <f>IF(M180-Założenia_Predpoklady!$C$4&lt;1,M174,M45*365*$C$39/1000*IF(M$53&lt;30,$C$167,IF(M$53&lt;40,$D$167,IF(M$53&lt;50,$E$167,IF(M$53&lt;60,$F$167,IF(M$53&lt;70,$G$167,$H$167)))))*$K$167)</f>
        <v>#DIV/0!</v>
      </c>
      <c r="N184" s="4" t="e">
        <f>IF(N180-Założenia_Predpoklady!$C$4&lt;1,N174,N45*365*$C$39/1000*IF(N$53&lt;30,$C$167,IF(N$53&lt;40,$D$167,IF(N$53&lt;50,$E$167,IF(N$53&lt;60,$F$167,IF(N$53&lt;70,$G$167,$H$167)))))*$K$167)</f>
        <v>#DIV/0!</v>
      </c>
      <c r="O184" s="4" t="e">
        <f>IF(O180-Założenia_Predpoklady!$C$4&lt;1,O174,O45*365*$C$39/1000*IF(O$53&lt;30,$C$167,IF(O$53&lt;40,$D$167,IF(O$53&lt;50,$E$167,IF(O$53&lt;60,$F$167,IF(O$53&lt;70,$G$167,$H$167)))))*$K$167)</f>
        <v>#DIV/0!</v>
      </c>
      <c r="P184" s="4" t="e">
        <f>IF(P180-Założenia_Predpoklady!$C$4&lt;1,P174,P45*365*$C$39/1000*IF(P$53&lt;30,$C$167,IF(P$53&lt;40,$D$167,IF(P$53&lt;50,$E$167,IF(P$53&lt;60,$F$167,IF(P$53&lt;70,$G$167,$H$167)))))*$K$167)</f>
        <v>#DIV/0!</v>
      </c>
      <c r="Q184" s="4" t="e">
        <f>IF(Q180-Założenia_Predpoklady!$C$4&lt;1,Q174,Q45*365*$C$39/1000*IF(Q$53&lt;30,$C$167,IF(Q$53&lt;40,$D$167,IF(Q$53&lt;50,$E$167,IF(Q$53&lt;60,$F$167,IF(Q$53&lt;70,$G$167,$H$167)))))*$K$167)</f>
        <v>#DIV/0!</v>
      </c>
      <c r="R184" s="4" t="e">
        <f>IF(R180-Założenia_Predpoklady!$C$4&lt;1,R174,R45*365*$C$39/1000*IF(R$53&lt;30,$C$167,IF(R$53&lt;40,$D$167,IF(R$53&lt;50,$E$167,IF(R$53&lt;60,$F$167,IF(R$53&lt;70,$G$167,$H$167)))))*$K$167)</f>
        <v>#DIV/0!</v>
      </c>
      <c r="S184" s="4" t="e">
        <f>IF(S180-Założenia_Predpoklady!$C$4&lt;1,S174,S45*365*$C$39/1000*IF(S$53&lt;30,$C$167,IF(S$53&lt;40,$D$167,IF(S$53&lt;50,$E$167,IF(S$53&lt;60,$F$167,IF(S$53&lt;70,$G$167,$H$167)))))*$K$167)</f>
        <v>#DIV/0!</v>
      </c>
      <c r="T184" s="4" t="e">
        <f>IF(T180-Założenia_Predpoklady!$C$4&lt;1,T174,T45*365*$C$39/1000*IF(T$53&lt;30,$C$167,IF(T$53&lt;40,$D$167,IF(T$53&lt;50,$E$167,IF(T$53&lt;60,$F$167,IF(T$53&lt;70,$G$167,$H$167)))))*$K$167)</f>
        <v>#DIV/0!</v>
      </c>
      <c r="U184" s="4" t="e">
        <f>IF(U180-Założenia_Predpoklady!$C$4&lt;1,U174,U45*365*$C$39/1000*IF(U$53&lt;30,$C$167,IF(U$53&lt;40,$D$167,IF(U$53&lt;50,$E$167,IF(U$53&lt;60,$F$167,IF(U$53&lt;70,$G$167,$H$167)))))*$K$167)</f>
        <v>#DIV/0!</v>
      </c>
      <c r="V184" s="4" t="e">
        <f>IF(V180-Założenia_Predpoklady!$C$4&lt;1,V174,V45*365*$C$39/1000*IF(V$53&lt;30,$C$167,IF(V$53&lt;40,$D$167,IF(V$53&lt;50,$E$167,IF(V$53&lt;60,$F$167,IF(V$53&lt;70,$G$167,$H$167)))))*$K$167)</f>
        <v>#DIV/0!</v>
      </c>
      <c r="W184" s="4" t="e">
        <f>IF(W180-Założenia_Predpoklady!$C$4&lt;1,W174,W45*365*$C$39/1000*IF(W$53&lt;30,$C$167,IF(W$53&lt;40,$D$167,IF(W$53&lt;50,$E$167,IF(W$53&lt;60,$F$167,IF(W$53&lt;70,$G$167,$H$167)))))*$K$167)</f>
        <v>#DIV/0!</v>
      </c>
      <c r="X184" s="4" t="e">
        <f>IF(X180-Założenia_Predpoklady!$C$4&lt;1,X174,X45*365*$C$39/1000*IF(X$53&lt;30,$C$167,IF(X$53&lt;40,$D$167,IF(X$53&lt;50,$E$167,IF(X$53&lt;60,$F$167,IF(X$53&lt;70,$G$167,$H$167)))))*$K$167)</f>
        <v>#DIV/0!</v>
      </c>
      <c r="Y184" s="4" t="e">
        <f>IF(Y180-Założenia_Predpoklady!$C$4&lt;1,Y174,Y45*365*$C$39/1000*IF(Y$53&lt;30,$C$167,IF(Y$53&lt;40,$D$167,IF(Y$53&lt;50,$E$167,IF(Y$53&lt;60,$F$167,IF(Y$53&lt;70,$G$167,$H$167)))))*$K$167)</f>
        <v>#DIV/0!</v>
      </c>
      <c r="Z184" s="4" t="e">
        <f>IF(Z180-Założenia_Predpoklady!$C$4&lt;1,Z174,Z45*365*$C$39/1000*IF(Z$53&lt;30,$C$167,IF(Z$53&lt;40,$D$167,IF(Z$53&lt;50,$E$167,IF(Z$53&lt;60,$F$167,IF(Z$53&lt;70,$G$167,$H$167)))))*$K$167)</f>
        <v>#DIV/0!</v>
      </c>
      <c r="AA184" s="4" t="e">
        <f>IF(AA180-Założenia_Predpoklady!$C$4&lt;1,AA174,AA45*365*$C$39/1000*IF(AA$53&lt;30,$C$167,IF(AA$53&lt;40,$D$167,IF(AA$53&lt;50,$E$167,IF(AA$53&lt;60,$F$167,IF(AA$53&lt;70,$G$167,$H$167)))))*$K$167)</f>
        <v>#DIV/0!</v>
      </c>
    </row>
    <row r="185" spans="1:27" x14ac:dyDescent="0.25">
      <c r="B185" s="303" t="s">
        <v>135</v>
      </c>
      <c r="C185" s="4">
        <f>IF(C180-Założenia_Predpoklady!$C$4&lt;1,C175,C46*365*$C$39/1000*IF(C$53&lt;30,$C$168,IF(C$53&lt;40,$D$168,IF(C$53&lt;50,$E$168,IF(C$53&lt;60,$F$168,IF(C$53&lt;70,$G$168,$H$168)))))*$K$167)</f>
        <v>0</v>
      </c>
      <c r="D185" s="4" t="e">
        <f>IF(D180-Założenia_Predpoklady!$C$4&lt;1,D175,D46*365*$C$39/1000*IF(D$53&lt;30,$C$168,IF(D$53&lt;40,$D$168,IF(D$53&lt;50,$E$168,IF(D$53&lt;60,$F$168,IF(D$53&lt;70,$G$168,$H$168)))))*$K$167)</f>
        <v>#DIV/0!</v>
      </c>
      <c r="E185" s="4" t="e">
        <f>IF(E180-Założenia_Predpoklady!$C$4&lt;1,E175,E46*365*$C$39/1000*IF(E$53&lt;30,$C$168,IF(E$53&lt;40,$D$168,IF(E$53&lt;50,$E$168,IF(E$53&lt;60,$F$168,IF(E$53&lt;70,$G$168,$H$168)))))*$K$167)</f>
        <v>#DIV/0!</v>
      </c>
      <c r="F185" s="4" t="e">
        <f>IF(F180-Założenia_Predpoklady!$C$4&lt;1,F175,F46*365*$C$39/1000*IF(F$53&lt;30,$C$168,IF(F$53&lt;40,$D$168,IF(F$53&lt;50,$E$168,IF(F$53&lt;60,$F$168,IF(F$53&lt;70,$G$168,$H$168)))))*$K$167)</f>
        <v>#DIV/0!</v>
      </c>
      <c r="G185" s="4" t="e">
        <f>IF(G180-Założenia_Predpoklady!$C$4&lt;1,G175,G46*365*$C$39/1000*IF(G$53&lt;30,$C$168,IF(G$53&lt;40,$D$168,IF(G$53&lt;50,$E$168,IF(G$53&lt;60,$F$168,IF(G$53&lt;70,$G$168,$H$168)))))*$K$167)</f>
        <v>#DIV/0!</v>
      </c>
      <c r="H185" s="4" t="e">
        <f>IF(H180-Założenia_Predpoklady!$C$4&lt;1,H175,H46*365*$C$39/1000*IF(H$53&lt;30,$C$168,IF(H$53&lt;40,$D$168,IF(H$53&lt;50,$E$168,IF(H$53&lt;60,$F$168,IF(H$53&lt;70,$G$168,$H$168)))))*$K$167)</f>
        <v>#DIV/0!</v>
      </c>
      <c r="I185" s="4" t="e">
        <f>IF(I180-Założenia_Predpoklady!$C$4&lt;1,I175,I46*365*$C$39/1000*IF(I$53&lt;30,$C$168,IF(I$53&lt;40,$D$168,IF(I$53&lt;50,$E$168,IF(I$53&lt;60,$F$168,IF(I$53&lt;70,$G$168,$H$168)))))*$K$167)</f>
        <v>#DIV/0!</v>
      </c>
      <c r="J185" s="4" t="e">
        <f>IF(J180-Założenia_Predpoklady!$C$4&lt;1,J175,J46*365*$C$39/1000*IF(J$53&lt;30,$C$168,IF(J$53&lt;40,$D$168,IF(J$53&lt;50,$E$168,IF(J$53&lt;60,$F$168,IF(J$53&lt;70,$G$168,$H$168)))))*$K$167)</f>
        <v>#DIV/0!</v>
      </c>
      <c r="K185" s="4" t="e">
        <f>IF(K180-Założenia_Predpoklady!$C$4&lt;1,K175,K46*365*$C$39/1000*IF(K$53&lt;30,$C$168,IF(K$53&lt;40,$D$168,IF(K$53&lt;50,$E$168,IF(K$53&lt;60,$F$168,IF(K$53&lt;70,$G$168,$H$168)))))*$K$167)</f>
        <v>#DIV/0!</v>
      </c>
      <c r="L185" s="4" t="e">
        <f>IF(L180-Założenia_Predpoklady!$C$4&lt;1,L175,L46*365*$C$39/1000*IF(L$53&lt;30,$C$168,IF(L$53&lt;40,$D$168,IF(L$53&lt;50,$E$168,IF(L$53&lt;60,$F$168,IF(L$53&lt;70,$G$168,$H$168)))))*$K$167)</f>
        <v>#DIV/0!</v>
      </c>
      <c r="M185" s="4" t="e">
        <f>IF(M180-Założenia_Predpoklady!$C$4&lt;1,M175,M46*365*$C$39/1000*IF(M$53&lt;30,$C$168,IF(M$53&lt;40,$D$168,IF(M$53&lt;50,$E$168,IF(M$53&lt;60,$F$168,IF(M$53&lt;70,$G$168,$H$168)))))*$K$167)</f>
        <v>#DIV/0!</v>
      </c>
      <c r="N185" s="4" t="e">
        <f>IF(N180-Założenia_Predpoklady!$C$4&lt;1,N175,N46*365*$C$39/1000*IF(N$53&lt;30,$C$168,IF(N$53&lt;40,$D$168,IF(N$53&lt;50,$E$168,IF(N$53&lt;60,$F$168,IF(N$53&lt;70,$G$168,$H$168)))))*$K$167)</f>
        <v>#DIV/0!</v>
      </c>
      <c r="O185" s="4" t="e">
        <f>IF(O180-Założenia_Predpoklady!$C$4&lt;1,O175,O46*365*$C$39/1000*IF(O$53&lt;30,$C$168,IF(O$53&lt;40,$D$168,IF(O$53&lt;50,$E$168,IF(O$53&lt;60,$F$168,IF(O$53&lt;70,$G$168,$H$168)))))*$K$167)</f>
        <v>#DIV/0!</v>
      </c>
      <c r="P185" s="4" t="e">
        <f>IF(P180-Założenia_Predpoklady!$C$4&lt;1,P175,P46*365*$C$39/1000*IF(P$53&lt;30,$C$168,IF(P$53&lt;40,$D$168,IF(P$53&lt;50,$E$168,IF(P$53&lt;60,$F$168,IF(P$53&lt;70,$G$168,$H$168)))))*$K$167)</f>
        <v>#DIV/0!</v>
      </c>
      <c r="Q185" s="4" t="e">
        <f>IF(Q180-Założenia_Predpoklady!$C$4&lt;1,Q175,Q46*365*$C$39/1000*IF(Q$53&lt;30,$C$168,IF(Q$53&lt;40,$D$168,IF(Q$53&lt;50,$E$168,IF(Q$53&lt;60,$F$168,IF(Q$53&lt;70,$G$168,$H$168)))))*$K$167)</f>
        <v>#DIV/0!</v>
      </c>
      <c r="R185" s="4" t="e">
        <f>IF(R180-Założenia_Predpoklady!$C$4&lt;1,R175,R46*365*$C$39/1000*IF(R$53&lt;30,$C$168,IF(R$53&lt;40,$D$168,IF(R$53&lt;50,$E$168,IF(R$53&lt;60,$F$168,IF(R$53&lt;70,$G$168,$H$168)))))*$K$167)</f>
        <v>#DIV/0!</v>
      </c>
      <c r="S185" s="4" t="e">
        <f>IF(S180-Założenia_Predpoklady!$C$4&lt;1,S175,S46*365*$C$39/1000*IF(S$53&lt;30,$C$168,IF(S$53&lt;40,$D$168,IF(S$53&lt;50,$E$168,IF(S$53&lt;60,$F$168,IF(S$53&lt;70,$G$168,$H$168)))))*$K$167)</f>
        <v>#DIV/0!</v>
      </c>
      <c r="T185" s="4" t="e">
        <f>IF(T180-Założenia_Predpoklady!$C$4&lt;1,T175,T46*365*$C$39/1000*IF(T$53&lt;30,$C$168,IF(T$53&lt;40,$D$168,IF(T$53&lt;50,$E$168,IF(T$53&lt;60,$F$168,IF(T$53&lt;70,$G$168,$H$168)))))*$K$167)</f>
        <v>#DIV/0!</v>
      </c>
      <c r="U185" s="4" t="e">
        <f>IF(U180-Założenia_Predpoklady!$C$4&lt;1,U175,U46*365*$C$39/1000*IF(U$53&lt;30,$C$168,IF(U$53&lt;40,$D$168,IF(U$53&lt;50,$E$168,IF(U$53&lt;60,$F$168,IF(U$53&lt;70,$G$168,$H$168)))))*$K$167)</f>
        <v>#DIV/0!</v>
      </c>
      <c r="V185" s="4" t="e">
        <f>IF(V180-Założenia_Predpoklady!$C$4&lt;1,V175,V46*365*$C$39/1000*IF(V$53&lt;30,$C$168,IF(V$53&lt;40,$D$168,IF(V$53&lt;50,$E$168,IF(V$53&lt;60,$F$168,IF(V$53&lt;70,$G$168,$H$168)))))*$K$167)</f>
        <v>#DIV/0!</v>
      </c>
      <c r="W185" s="4" t="e">
        <f>IF(W180-Założenia_Predpoklady!$C$4&lt;1,W175,W46*365*$C$39/1000*IF(W$53&lt;30,$C$168,IF(W$53&lt;40,$D$168,IF(W$53&lt;50,$E$168,IF(W$53&lt;60,$F$168,IF(W$53&lt;70,$G$168,$H$168)))))*$K$167)</f>
        <v>#DIV/0!</v>
      </c>
      <c r="X185" s="4" t="e">
        <f>IF(X180-Założenia_Predpoklady!$C$4&lt;1,X175,X46*365*$C$39/1000*IF(X$53&lt;30,$C$168,IF(X$53&lt;40,$D$168,IF(X$53&lt;50,$E$168,IF(X$53&lt;60,$F$168,IF(X$53&lt;70,$G$168,$H$168)))))*$K$167)</f>
        <v>#DIV/0!</v>
      </c>
      <c r="Y185" s="4" t="e">
        <f>IF(Y180-Założenia_Predpoklady!$C$4&lt;1,Y175,Y46*365*$C$39/1000*IF(Y$53&lt;30,$C$168,IF(Y$53&lt;40,$D$168,IF(Y$53&lt;50,$E$168,IF(Y$53&lt;60,$F$168,IF(Y$53&lt;70,$G$168,$H$168)))))*$K$167)</f>
        <v>#DIV/0!</v>
      </c>
      <c r="Z185" s="4" t="e">
        <f>IF(Z180-Założenia_Predpoklady!$C$4&lt;1,Z175,Z46*365*$C$39/1000*IF(Z$53&lt;30,$C$168,IF(Z$53&lt;40,$D$168,IF(Z$53&lt;50,$E$168,IF(Z$53&lt;60,$F$168,IF(Z$53&lt;70,$G$168,$H$168)))))*$K$167)</f>
        <v>#DIV/0!</v>
      </c>
      <c r="AA185" s="4" t="e">
        <f>IF(AA180-Założenia_Predpoklady!$C$4&lt;1,AA175,AA46*365*$C$39/1000*IF(AA$53&lt;30,$C$168,IF(AA$53&lt;40,$D$168,IF(AA$53&lt;50,$E$168,IF(AA$53&lt;60,$F$168,IF(AA$53&lt;70,$G$168,$H$168)))))*$K$167)</f>
        <v>#DIV/0!</v>
      </c>
    </row>
    <row r="186" spans="1:27" ht="36" x14ac:dyDescent="0.35">
      <c r="B186" s="304" t="s">
        <v>180</v>
      </c>
      <c r="C186" s="32">
        <f>ROUND(SUM(C181:C185),2)</f>
        <v>0</v>
      </c>
      <c r="D186" s="32" t="e">
        <f t="shared" ref="D186:AA186" si="57">ROUND(SUM(D181:D185),2)</f>
        <v>#DIV/0!</v>
      </c>
      <c r="E186" s="32" t="e">
        <f t="shared" si="57"/>
        <v>#DIV/0!</v>
      </c>
      <c r="F186" s="32" t="e">
        <f t="shared" si="57"/>
        <v>#DIV/0!</v>
      </c>
      <c r="G186" s="32" t="e">
        <f t="shared" si="57"/>
        <v>#DIV/0!</v>
      </c>
      <c r="H186" s="32" t="e">
        <f t="shared" si="57"/>
        <v>#DIV/0!</v>
      </c>
      <c r="I186" s="32" t="e">
        <f t="shared" si="57"/>
        <v>#DIV/0!</v>
      </c>
      <c r="J186" s="32" t="e">
        <f t="shared" si="57"/>
        <v>#DIV/0!</v>
      </c>
      <c r="K186" s="32" t="e">
        <f t="shared" si="57"/>
        <v>#DIV/0!</v>
      </c>
      <c r="L186" s="32" t="e">
        <f t="shared" si="57"/>
        <v>#DIV/0!</v>
      </c>
      <c r="M186" s="32" t="e">
        <f t="shared" si="57"/>
        <v>#DIV/0!</v>
      </c>
      <c r="N186" s="32" t="e">
        <f t="shared" si="57"/>
        <v>#DIV/0!</v>
      </c>
      <c r="O186" s="32" t="e">
        <f t="shared" si="57"/>
        <v>#DIV/0!</v>
      </c>
      <c r="P186" s="32" t="e">
        <f t="shared" si="57"/>
        <v>#DIV/0!</v>
      </c>
      <c r="Q186" s="32" t="e">
        <f t="shared" si="57"/>
        <v>#DIV/0!</v>
      </c>
      <c r="R186" s="32" t="e">
        <f t="shared" si="57"/>
        <v>#DIV/0!</v>
      </c>
      <c r="S186" s="32" t="e">
        <f t="shared" si="57"/>
        <v>#DIV/0!</v>
      </c>
      <c r="T186" s="32" t="e">
        <f t="shared" si="57"/>
        <v>#DIV/0!</v>
      </c>
      <c r="U186" s="32" t="e">
        <f t="shared" si="57"/>
        <v>#DIV/0!</v>
      </c>
      <c r="V186" s="32" t="e">
        <f t="shared" si="57"/>
        <v>#DIV/0!</v>
      </c>
      <c r="W186" s="32" t="e">
        <f t="shared" si="57"/>
        <v>#DIV/0!</v>
      </c>
      <c r="X186" s="32" t="e">
        <f t="shared" si="57"/>
        <v>#DIV/0!</v>
      </c>
      <c r="Y186" s="32" t="e">
        <f t="shared" si="57"/>
        <v>#DIV/0!</v>
      </c>
      <c r="Z186" s="32" t="e">
        <f t="shared" si="57"/>
        <v>#DIV/0!</v>
      </c>
      <c r="AA186" s="32" t="e">
        <f t="shared" si="57"/>
        <v>#DIV/0!</v>
      </c>
    </row>
    <row r="187" spans="1:27" ht="36" x14ac:dyDescent="0.35">
      <c r="B187" s="304" t="s">
        <v>181</v>
      </c>
      <c r="C187" s="51">
        <f>C176-C186</f>
        <v>0</v>
      </c>
      <c r="D187" s="51" t="e">
        <f t="shared" ref="D187:AA187" si="58">D176-D186</f>
        <v>#DIV/0!</v>
      </c>
      <c r="E187" s="51" t="e">
        <f t="shared" si="58"/>
        <v>#DIV/0!</v>
      </c>
      <c r="F187" s="51" t="e">
        <f t="shared" si="58"/>
        <v>#DIV/0!</v>
      </c>
      <c r="G187" s="51" t="e">
        <f t="shared" si="58"/>
        <v>#DIV/0!</v>
      </c>
      <c r="H187" s="51" t="e">
        <f t="shared" si="58"/>
        <v>#DIV/0!</v>
      </c>
      <c r="I187" s="51" t="e">
        <f t="shared" si="58"/>
        <v>#DIV/0!</v>
      </c>
      <c r="J187" s="51" t="e">
        <f t="shared" si="58"/>
        <v>#DIV/0!</v>
      </c>
      <c r="K187" s="51" t="e">
        <f t="shared" si="58"/>
        <v>#DIV/0!</v>
      </c>
      <c r="L187" s="51" t="e">
        <f t="shared" si="58"/>
        <v>#DIV/0!</v>
      </c>
      <c r="M187" s="51" t="e">
        <f t="shared" si="58"/>
        <v>#DIV/0!</v>
      </c>
      <c r="N187" s="51" t="e">
        <f t="shared" si="58"/>
        <v>#DIV/0!</v>
      </c>
      <c r="O187" s="51" t="e">
        <f t="shared" si="58"/>
        <v>#DIV/0!</v>
      </c>
      <c r="P187" s="51" t="e">
        <f t="shared" si="58"/>
        <v>#DIV/0!</v>
      </c>
      <c r="Q187" s="51" t="e">
        <f t="shared" si="58"/>
        <v>#DIV/0!</v>
      </c>
      <c r="R187" s="51" t="e">
        <f t="shared" si="58"/>
        <v>#DIV/0!</v>
      </c>
      <c r="S187" s="51" t="e">
        <f t="shared" si="58"/>
        <v>#DIV/0!</v>
      </c>
      <c r="T187" s="51" t="e">
        <f t="shared" si="58"/>
        <v>#DIV/0!</v>
      </c>
      <c r="U187" s="51" t="e">
        <f t="shared" si="58"/>
        <v>#DIV/0!</v>
      </c>
      <c r="V187" s="51" t="e">
        <f t="shared" si="58"/>
        <v>#DIV/0!</v>
      </c>
      <c r="W187" s="51" t="e">
        <f t="shared" si="58"/>
        <v>#DIV/0!</v>
      </c>
      <c r="X187" s="51" t="e">
        <f t="shared" si="58"/>
        <v>#DIV/0!</v>
      </c>
      <c r="Y187" s="51" t="e">
        <f t="shared" si="58"/>
        <v>#DIV/0!</v>
      </c>
      <c r="Z187" s="51" t="e">
        <f t="shared" si="58"/>
        <v>#DIV/0!</v>
      </c>
      <c r="AA187" s="51" t="e">
        <f t="shared" si="58"/>
        <v>#DIV/0!</v>
      </c>
    </row>
    <row r="188" spans="1:27" x14ac:dyDescent="0.25">
      <c r="B188" s="95"/>
    </row>
    <row r="189" spans="1:27" ht="30" x14ac:dyDescent="0.25">
      <c r="B189" s="260" t="s">
        <v>234</v>
      </c>
      <c r="C189" s="214"/>
      <c r="D189" s="214"/>
      <c r="E189" s="214"/>
    </row>
    <row r="190" spans="1:27" ht="30" customHeight="1" x14ac:dyDescent="0.25">
      <c r="B190" s="461" t="s">
        <v>418</v>
      </c>
      <c r="C190" s="544" t="s">
        <v>417</v>
      </c>
      <c r="D190" s="544"/>
      <c r="E190" s="544"/>
    </row>
    <row r="191" spans="1:27" x14ac:dyDescent="0.25">
      <c r="B191" s="95"/>
    </row>
    <row r="192" spans="1:27" x14ac:dyDescent="0.25">
      <c r="B192" s="95"/>
    </row>
    <row r="193" spans="2:2" x14ac:dyDescent="0.25">
      <c r="B193" s="95"/>
    </row>
    <row r="194" spans="2:2" x14ac:dyDescent="0.25">
      <c r="B194" s="95"/>
    </row>
    <row r="195" spans="2:2" x14ac:dyDescent="0.25">
      <c r="B195" s="95"/>
    </row>
    <row r="196" spans="2:2" x14ac:dyDescent="0.25">
      <c r="B196" s="95"/>
    </row>
    <row r="197" spans="2:2" x14ac:dyDescent="0.25">
      <c r="B197" s="95"/>
    </row>
    <row r="198" spans="2:2" x14ac:dyDescent="0.25">
      <c r="B198" s="95"/>
    </row>
    <row r="199" spans="2:2" x14ac:dyDescent="0.25">
      <c r="B199" s="95"/>
    </row>
    <row r="200" spans="2:2" x14ac:dyDescent="0.25">
      <c r="B200" s="95"/>
    </row>
    <row r="201" spans="2:2" x14ac:dyDescent="0.25">
      <c r="B201" s="95"/>
    </row>
    <row r="202" spans="2:2" x14ac:dyDescent="0.25">
      <c r="B202" s="95"/>
    </row>
    <row r="203" spans="2:2" x14ac:dyDescent="0.25">
      <c r="B203" s="95"/>
    </row>
    <row r="204" spans="2:2" x14ac:dyDescent="0.25">
      <c r="B204" s="192"/>
    </row>
    <row r="205" spans="2:2" x14ac:dyDescent="0.25">
      <c r="B205" s="192"/>
    </row>
    <row r="206" spans="2:2" x14ac:dyDescent="0.25">
      <c r="B206" s="192"/>
    </row>
    <row r="207" spans="2:2" x14ac:dyDescent="0.25">
      <c r="B207" s="95"/>
    </row>
    <row r="208" spans="2:2" x14ac:dyDescent="0.25">
      <c r="B208" s="95"/>
    </row>
    <row r="209" spans="2:2" x14ac:dyDescent="0.25">
      <c r="B209" s="95"/>
    </row>
    <row r="210" spans="2:2" x14ac:dyDescent="0.25">
      <c r="B210" s="95"/>
    </row>
    <row r="211" spans="2:2" x14ac:dyDescent="0.25">
      <c r="B211" s="95"/>
    </row>
    <row r="212" spans="2:2" x14ac:dyDescent="0.25">
      <c r="B212" s="95"/>
    </row>
    <row r="213" spans="2:2" x14ac:dyDescent="0.25">
      <c r="B213" s="95"/>
    </row>
    <row r="214" spans="2:2" x14ac:dyDescent="0.25">
      <c r="B214" s="95"/>
    </row>
  </sheetData>
  <sheetProtection sheet="1" objects="1" scenarios="1" formatCells="0" formatColumns="0" formatRows="0" insertRows="0" deleteRows="0" selectLockedCells="1"/>
  <dataConsolidate/>
  <mergeCells count="29">
    <mergeCell ref="C160:E160"/>
    <mergeCell ref="C190:E190"/>
    <mergeCell ref="C123:E123"/>
    <mergeCell ref="C89:E89"/>
    <mergeCell ref="I164:I168"/>
    <mergeCell ref="B151:C151"/>
    <mergeCell ref="B162:D162"/>
    <mergeCell ref="B178:D178"/>
    <mergeCell ref="B149:C149"/>
    <mergeCell ref="B131:C131"/>
    <mergeCell ref="B125:D125"/>
    <mergeCell ref="B117:D117"/>
    <mergeCell ref="B108:D108"/>
    <mergeCell ref="B99:D99"/>
    <mergeCell ref="B143:C143"/>
    <mergeCell ref="B133:C133"/>
    <mergeCell ref="C106:E106"/>
    <mergeCell ref="C1:O1"/>
    <mergeCell ref="B5:C5"/>
    <mergeCell ref="D93:D94"/>
    <mergeCell ref="B32:C32"/>
    <mergeCell ref="E33:E34"/>
    <mergeCell ref="E35:E37"/>
    <mergeCell ref="B3:E3"/>
    <mergeCell ref="B91:D91"/>
    <mergeCell ref="B78:D78"/>
    <mergeCell ref="B63:E63"/>
    <mergeCell ref="B30:E30"/>
    <mergeCell ref="C61:E61"/>
  </mergeCells>
  <conditionalFormatting sqref="C1">
    <cfRule type="cellIs" dxfId="5" priority="2" operator="equal">
      <formula>0</formula>
    </cfRule>
  </conditionalFormatting>
  <conditionalFormatting sqref="C1:O1">
    <cfRule type="cellIs" dxfId="4" priority="1" operator="equal">
      <formula>0</formula>
    </cfRule>
  </conditionalFormatting>
  <dataValidations xWindow="592" yWindow="591" count="8">
    <dataValidation type="list" allowBlank="1" showInputMessage="1" showErrorMessage="1" prompt="Wybierz z listy._x000a_Vybrať zo zoznamu." sqref="C145:C148 C127:C130">
      <formula1>$F$127:$F$128</formula1>
    </dataValidation>
    <dataValidation allowBlank="1" showInputMessage="1" showErrorMessage="1" prompt="Podaj wartość._x000a_Zadajte hodnotu." sqref="C25:C26"/>
    <dataValidation allowBlank="1" showInputMessage="1" showErrorMessage="1" prompt="Podaj wartość._x000a_Zadajte hodnotu._x000a_" sqref="D6:D10"/>
    <dataValidation allowBlank="1" showInputMessage="1" showErrorMessage="1" prompt="Podaj wartość (%)._x000a_Zadajte hodnotu (%)." sqref="E6:E10"/>
    <dataValidation type="decimal" operator="greaterThanOrEqual" allowBlank="1" showInputMessage="1" showErrorMessage="1" prompt="Podaj wartość._x000a_Zadajte hodnotu." sqref="C110:C112 C136 C65:C69 C93:D94">
      <formula1>0</formula1>
    </dataValidation>
    <dataValidation type="decimal" allowBlank="1" showInputMessage="1" showErrorMessage="1" prompt="Podaj wartość z zakresu +/- 100%. _x000a_Zadajte hodnotu v rozmedzí +/- 100%." sqref="E33:E37">
      <formula1>-1</formula1>
      <formula2>1</formula2>
    </dataValidation>
    <dataValidation type="decimal" allowBlank="1" showInputMessage="1" showErrorMessage="1" prompt="Podaj wartość z zakresu +/- 100%. _x000a_Zadajte hodnotu v rozmedzí +/- 100%._x000a_" sqref="D33:D37">
      <formula1>-1</formula1>
      <formula2>1</formula2>
    </dataValidation>
    <dataValidation type="decimal" allowBlank="1" showInputMessage="1" showErrorMessage="1" prompt="Podaj wartość  (0,1-3)._x000a_Zadajte hodnotu (0,1-3)." sqref="D149 D131">
      <formula1>0.1</formula1>
      <formula2>3</formula2>
    </dataValidation>
  </dataValidations>
  <pageMargins left="0.7" right="0.7" top="0.75" bottom="0.75" header="0.3" footer="0.3"/>
  <pageSetup paperSize="9" scale="28" orientation="landscape" r:id="rId1"/>
  <rowBreaks count="2" manualBreakCount="2">
    <brk id="62" max="16383" man="1"/>
    <brk id="1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6"/>
  <dimension ref="A1:AA70"/>
  <sheetViews>
    <sheetView showGridLines="0" view="pageBreakPreview" zoomScaleNormal="100" zoomScaleSheetLayoutView="100" workbookViewId="0">
      <selection activeCell="K31" sqref="K31"/>
    </sheetView>
  </sheetViews>
  <sheetFormatPr defaultRowHeight="15" x14ac:dyDescent="0.25"/>
  <cols>
    <col min="1" max="1" width="5.5703125" customWidth="1"/>
    <col min="2" max="2" width="42" customWidth="1"/>
    <col min="3" max="27" width="15.7109375" customWidth="1"/>
  </cols>
  <sheetData>
    <row r="1" spans="1:27" ht="45" customHeight="1" x14ac:dyDescent="0.25">
      <c r="A1" s="537" t="s">
        <v>313</v>
      </c>
      <c r="B1" s="538"/>
      <c r="C1" s="565">
        <f>Założenia_Predpoklady!C1</f>
        <v>0</v>
      </c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7"/>
    </row>
    <row r="3" spans="1:27" ht="30" customHeight="1" x14ac:dyDescent="0.25">
      <c r="B3" s="335" t="s">
        <v>365</v>
      </c>
    </row>
    <row r="4" spans="1:27" ht="30" x14ac:dyDescent="0.25">
      <c r="B4" s="272" t="s">
        <v>49</v>
      </c>
      <c r="C4" s="25">
        <f>Założenia_Predpoklady!C15</f>
        <v>2016</v>
      </c>
      <c r="D4" s="25">
        <f>Założenia_Predpoklady!D15</f>
        <v>2017</v>
      </c>
      <c r="E4" s="25">
        <f>Założenia_Predpoklady!E15</f>
        <v>2018</v>
      </c>
      <c r="F4" s="25">
        <f>Założenia_Predpoklady!F15</f>
        <v>2019</v>
      </c>
      <c r="G4" s="25">
        <f>Założenia_Predpoklady!G15</f>
        <v>2020</v>
      </c>
      <c r="H4" s="25">
        <f>Założenia_Predpoklady!H15</f>
        <v>2021</v>
      </c>
      <c r="I4" s="25">
        <f>Założenia_Predpoklady!I15</f>
        <v>2022</v>
      </c>
      <c r="J4" s="25">
        <f>Założenia_Predpoklady!J15</f>
        <v>2023</v>
      </c>
    </row>
    <row r="5" spans="1:27" ht="30" x14ac:dyDescent="0.25">
      <c r="B5" s="359" t="s">
        <v>376</v>
      </c>
      <c r="C5" s="341">
        <f>Dane_Dáta!C18</f>
        <v>0</v>
      </c>
      <c r="D5" s="341">
        <f>Dane_Dáta!D18</f>
        <v>0</v>
      </c>
      <c r="E5" s="341">
        <f>Dane_Dáta!E18</f>
        <v>0</v>
      </c>
      <c r="F5" s="341">
        <f>Dane_Dáta!F18</f>
        <v>0</v>
      </c>
      <c r="G5" s="341">
        <f>Dane_Dáta!G18</f>
        <v>0</v>
      </c>
      <c r="H5" s="341">
        <f>Dane_Dáta!H18</f>
        <v>0</v>
      </c>
      <c r="I5" s="341">
        <f>Dane_Dáta!I18</f>
        <v>0</v>
      </c>
      <c r="J5" s="341">
        <f>Dane_Dáta!J18</f>
        <v>0</v>
      </c>
    </row>
    <row r="6" spans="1:27" ht="30" x14ac:dyDescent="0.25">
      <c r="B6" s="340" t="s">
        <v>198</v>
      </c>
      <c r="C6" s="341">
        <f>Dane_Dáta!C19</f>
        <v>0</v>
      </c>
      <c r="D6" s="341">
        <f>Dane_Dáta!D19</f>
        <v>0</v>
      </c>
      <c r="E6" s="341">
        <f>Dane_Dáta!E19</f>
        <v>0</v>
      </c>
      <c r="F6" s="341">
        <f>Dane_Dáta!F19</f>
        <v>0</v>
      </c>
      <c r="G6" s="341">
        <f>Dane_Dáta!G19</f>
        <v>0</v>
      </c>
      <c r="H6" s="341">
        <f>Dane_Dáta!H19</f>
        <v>0</v>
      </c>
      <c r="I6" s="341">
        <f>Dane_Dáta!I19</f>
        <v>0</v>
      </c>
      <c r="J6" s="341">
        <f>Dane_Dáta!J19</f>
        <v>0</v>
      </c>
    </row>
    <row r="7" spans="1:27" ht="30" x14ac:dyDescent="0.25">
      <c r="B7" s="420" t="s">
        <v>314</v>
      </c>
      <c r="C7" s="380"/>
      <c r="D7" s="380"/>
      <c r="E7" s="380"/>
      <c r="F7" s="380"/>
      <c r="G7" s="380"/>
      <c r="H7" s="380"/>
      <c r="I7" s="380"/>
      <c r="J7" s="380"/>
    </row>
    <row r="8" spans="1:27" ht="30" x14ac:dyDescent="0.25">
      <c r="B8" s="338" t="s">
        <v>377</v>
      </c>
      <c r="C8" s="107">
        <f>C5-C6-C7</f>
        <v>0</v>
      </c>
      <c r="D8" s="107">
        <f t="shared" ref="D8:J8" si="0">D5-D6-D7</f>
        <v>0</v>
      </c>
      <c r="E8" s="107">
        <f t="shared" si="0"/>
        <v>0</v>
      </c>
      <c r="F8" s="107">
        <f t="shared" si="0"/>
        <v>0</v>
      </c>
      <c r="G8" s="107">
        <f t="shared" si="0"/>
        <v>0</v>
      </c>
      <c r="H8" s="107">
        <f t="shared" si="0"/>
        <v>0</v>
      </c>
      <c r="I8" s="107">
        <f t="shared" si="0"/>
        <v>0</v>
      </c>
      <c r="J8" s="107">
        <f t="shared" si="0"/>
        <v>0</v>
      </c>
    </row>
    <row r="9" spans="1:27" x14ac:dyDescent="0.25">
      <c r="B9" s="105"/>
      <c r="C9" s="106"/>
      <c r="D9" s="106"/>
      <c r="E9" s="106"/>
      <c r="F9" s="106"/>
      <c r="G9" s="106"/>
      <c r="H9" s="106"/>
      <c r="I9" s="106"/>
      <c r="J9" s="106"/>
    </row>
    <row r="10" spans="1:27" ht="30" x14ac:dyDescent="0.25">
      <c r="B10" s="272" t="s">
        <v>49</v>
      </c>
      <c r="C10" s="148">
        <f>Założenia_Predpoklady!C15</f>
        <v>2016</v>
      </c>
      <c r="D10" s="148">
        <f>Założenia_Predpoklady!D15</f>
        <v>2017</v>
      </c>
      <c r="E10" s="148">
        <f>Założenia_Predpoklady!E15</f>
        <v>2018</v>
      </c>
      <c r="F10" s="148">
        <f>Założenia_Predpoklady!F15</f>
        <v>2019</v>
      </c>
      <c r="G10" s="148">
        <f>Założenia_Predpoklady!G15</f>
        <v>2020</v>
      </c>
      <c r="H10" s="148">
        <f>Założenia_Predpoklady!H15</f>
        <v>2021</v>
      </c>
      <c r="I10" s="148">
        <f>Założenia_Predpoklady!I15</f>
        <v>2022</v>
      </c>
      <c r="J10" s="148">
        <f>Założenia_Predpoklady!J15</f>
        <v>2023</v>
      </c>
      <c r="K10" s="25">
        <f>Założenia_Predpoklady!K15</f>
        <v>2024</v>
      </c>
      <c r="L10" s="25">
        <f>Założenia_Predpoklady!L15</f>
        <v>2025</v>
      </c>
      <c r="M10" s="25">
        <f>Założenia_Predpoklady!M15</f>
        <v>2026</v>
      </c>
      <c r="N10" s="25">
        <f>Założenia_Predpoklady!N15</f>
        <v>2027</v>
      </c>
      <c r="O10" s="25">
        <f>Założenia_Predpoklady!O15</f>
        <v>2028</v>
      </c>
      <c r="P10" s="25">
        <f>Założenia_Predpoklady!P15</f>
        <v>2029</v>
      </c>
      <c r="Q10" s="25">
        <f>Założenia_Predpoklady!Q15</f>
        <v>2030</v>
      </c>
      <c r="R10" s="25">
        <f>Założenia_Predpoklady!R15</f>
        <v>2031</v>
      </c>
      <c r="S10" s="25">
        <f>Założenia_Predpoklady!S15</f>
        <v>2032</v>
      </c>
      <c r="T10" s="25">
        <f>Założenia_Predpoklady!T15</f>
        <v>2033</v>
      </c>
      <c r="U10" s="25">
        <f>Założenia_Predpoklady!U15</f>
        <v>2034</v>
      </c>
      <c r="V10" s="25">
        <f>Założenia_Predpoklady!V15</f>
        <v>2035</v>
      </c>
      <c r="W10" s="25">
        <f>Założenia_Predpoklady!W15</f>
        <v>2036</v>
      </c>
      <c r="X10" s="25">
        <f>Założenia_Predpoklady!X15</f>
        <v>2037</v>
      </c>
      <c r="Y10" s="25">
        <f>Założenia_Predpoklady!Y15</f>
        <v>2038</v>
      </c>
      <c r="Z10" s="25">
        <f>Założenia_Predpoklady!Z15</f>
        <v>2039</v>
      </c>
      <c r="AA10" s="25">
        <f>Założenia_Predpoklady!AA15</f>
        <v>2040</v>
      </c>
    </row>
    <row r="11" spans="1:27" ht="30" x14ac:dyDescent="0.25">
      <c r="B11" s="16" t="s">
        <v>197</v>
      </c>
      <c r="C11" s="4">
        <f>'Wyniki_Výsledky '!C25</f>
        <v>0</v>
      </c>
      <c r="D11" s="4">
        <f>'Wyniki_Výsledky '!D25</f>
        <v>0</v>
      </c>
      <c r="E11" s="4">
        <f>'Wyniki_Výsledky '!E25</f>
        <v>0</v>
      </c>
      <c r="F11" s="4">
        <f>'Wyniki_Výsledky '!F25</f>
        <v>0</v>
      </c>
      <c r="G11" s="4">
        <f>'Wyniki_Výsledky '!G25</f>
        <v>0</v>
      </c>
      <c r="H11" s="4">
        <f>'Wyniki_Výsledky '!H25</f>
        <v>0</v>
      </c>
      <c r="I11" s="4">
        <f>'Wyniki_Výsledky '!I25</f>
        <v>0</v>
      </c>
      <c r="J11" s="4">
        <f>'Wyniki_Výsledky '!J25</f>
        <v>0</v>
      </c>
      <c r="K11" s="4">
        <f>'Wyniki_Výsledky '!K25</f>
        <v>0</v>
      </c>
      <c r="L11" s="4">
        <f>'Wyniki_Výsledky '!L25</f>
        <v>0</v>
      </c>
      <c r="M11" s="4">
        <f>'Wyniki_Výsledky '!M25</f>
        <v>0</v>
      </c>
      <c r="N11" s="4">
        <f>'Wyniki_Výsledky '!N25</f>
        <v>0</v>
      </c>
      <c r="O11" s="4">
        <f>'Wyniki_Výsledky '!O25</f>
        <v>0</v>
      </c>
      <c r="P11" s="4">
        <f>'Wyniki_Výsledky '!P25</f>
        <v>0</v>
      </c>
      <c r="Q11" s="4">
        <f>'Wyniki_Výsledky '!Q25</f>
        <v>0</v>
      </c>
      <c r="R11" s="4">
        <f>'Wyniki_Výsledky '!R25</f>
        <v>0</v>
      </c>
      <c r="S11" s="4">
        <f>'Wyniki_Výsledky '!S25</f>
        <v>0</v>
      </c>
      <c r="T11" s="4">
        <f>'Wyniki_Výsledky '!T25</f>
        <v>0</v>
      </c>
      <c r="U11" s="4">
        <f>'Wyniki_Výsledky '!U25</f>
        <v>0</v>
      </c>
      <c r="V11" s="4">
        <f>'Wyniki_Výsledky '!V25</f>
        <v>0</v>
      </c>
      <c r="W11" s="4">
        <f>'Wyniki_Výsledky '!W25</f>
        <v>0</v>
      </c>
      <c r="X11" s="4">
        <f>'Wyniki_Výsledky '!X25</f>
        <v>0</v>
      </c>
      <c r="Y11" s="4">
        <f>'Wyniki_Výsledky '!Y25</f>
        <v>0</v>
      </c>
      <c r="Z11" s="4">
        <f>'Wyniki_Výsledky '!Z25</f>
        <v>0</v>
      </c>
      <c r="AA11" s="4">
        <f>'Wyniki_Výsledky '!AA25</f>
        <v>0</v>
      </c>
    </row>
    <row r="12" spans="1:27" ht="30" x14ac:dyDescent="0.25">
      <c r="B12" s="114" t="s">
        <v>198</v>
      </c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</row>
    <row r="13" spans="1:27" ht="30" x14ac:dyDescent="0.25">
      <c r="B13" s="420" t="s">
        <v>314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</row>
    <row r="14" spans="1:27" ht="30" x14ac:dyDescent="0.25">
      <c r="B14" s="338" t="s">
        <v>315</v>
      </c>
      <c r="C14" s="107">
        <f>IF(C10=0,0,C11-C12-C13)</f>
        <v>0</v>
      </c>
      <c r="D14" s="107">
        <f t="shared" ref="D14:Z14" si="1">IF(D10=0,0,D11-D12-D13)</f>
        <v>0</v>
      </c>
      <c r="E14" s="107">
        <f t="shared" si="1"/>
        <v>0</v>
      </c>
      <c r="F14" s="107">
        <f t="shared" si="1"/>
        <v>0</v>
      </c>
      <c r="G14" s="107">
        <f t="shared" si="1"/>
        <v>0</v>
      </c>
      <c r="H14" s="107">
        <f t="shared" si="1"/>
        <v>0</v>
      </c>
      <c r="I14" s="107">
        <f t="shared" si="1"/>
        <v>0</v>
      </c>
      <c r="J14" s="107">
        <f t="shared" si="1"/>
        <v>0</v>
      </c>
      <c r="K14" s="107">
        <f t="shared" si="1"/>
        <v>0</v>
      </c>
      <c r="L14" s="107">
        <f t="shared" si="1"/>
        <v>0</v>
      </c>
      <c r="M14" s="107">
        <f t="shared" si="1"/>
        <v>0</v>
      </c>
      <c r="N14" s="107">
        <f t="shared" si="1"/>
        <v>0</v>
      </c>
      <c r="O14" s="107">
        <f t="shared" si="1"/>
        <v>0</v>
      </c>
      <c r="P14" s="107">
        <f t="shared" si="1"/>
        <v>0</v>
      </c>
      <c r="Q14" s="107">
        <f t="shared" si="1"/>
        <v>0</v>
      </c>
      <c r="R14" s="107">
        <f t="shared" si="1"/>
        <v>0</v>
      </c>
      <c r="S14" s="107">
        <f t="shared" si="1"/>
        <v>0</v>
      </c>
      <c r="T14" s="107">
        <f t="shared" si="1"/>
        <v>0</v>
      </c>
      <c r="U14" s="107">
        <f t="shared" si="1"/>
        <v>0</v>
      </c>
      <c r="V14" s="107">
        <f t="shared" si="1"/>
        <v>0</v>
      </c>
      <c r="W14" s="107">
        <f t="shared" si="1"/>
        <v>0</v>
      </c>
      <c r="X14" s="107">
        <f t="shared" si="1"/>
        <v>0</v>
      </c>
      <c r="Y14" s="107">
        <f t="shared" si="1"/>
        <v>0</v>
      </c>
      <c r="Z14" s="107">
        <f t="shared" si="1"/>
        <v>0</v>
      </c>
      <c r="AA14" s="107">
        <f t="shared" ref="AA14" si="2">IF(AA10=0,0,AA11-AA12-AA13)</f>
        <v>0</v>
      </c>
    </row>
    <row r="15" spans="1:27" x14ac:dyDescent="0.25"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</row>
    <row r="16" spans="1:27" ht="30" x14ac:dyDescent="0.25">
      <c r="B16" s="272" t="s">
        <v>49</v>
      </c>
      <c r="C16" s="148">
        <f>Założenia_Predpoklady!C15</f>
        <v>2016</v>
      </c>
      <c r="D16" s="148">
        <f>Założenia_Predpoklady!D15</f>
        <v>2017</v>
      </c>
      <c r="E16" s="148">
        <f>Założenia_Predpoklady!E15</f>
        <v>2018</v>
      </c>
      <c r="F16" s="148">
        <f>Założenia_Predpoklady!F15</f>
        <v>2019</v>
      </c>
      <c r="G16" s="148">
        <f>Założenia_Predpoklady!G15</f>
        <v>2020</v>
      </c>
      <c r="H16" s="148">
        <f>Założenia_Predpoklady!H15</f>
        <v>2021</v>
      </c>
      <c r="I16" s="148">
        <f>Założenia_Predpoklady!I15</f>
        <v>2022</v>
      </c>
      <c r="J16" s="148">
        <f>Założenia_Predpoklady!J15</f>
        <v>2023</v>
      </c>
      <c r="K16" s="148">
        <f>Założenia_Predpoklady!K15</f>
        <v>2024</v>
      </c>
      <c r="L16" s="148">
        <f>Założenia_Predpoklady!L15</f>
        <v>2025</v>
      </c>
      <c r="M16" s="148">
        <f>Założenia_Predpoklady!M15</f>
        <v>2026</v>
      </c>
      <c r="N16" s="148">
        <f>Założenia_Predpoklady!N15</f>
        <v>2027</v>
      </c>
      <c r="O16" s="148">
        <f>Założenia_Predpoklady!O15</f>
        <v>2028</v>
      </c>
      <c r="P16" s="148">
        <f>Założenia_Predpoklady!P15</f>
        <v>2029</v>
      </c>
      <c r="Q16" s="148">
        <f>Założenia_Predpoklady!Q15</f>
        <v>2030</v>
      </c>
      <c r="R16" s="148">
        <f>Założenia_Predpoklady!R15</f>
        <v>2031</v>
      </c>
      <c r="S16" s="148">
        <f>Założenia_Predpoklady!S15</f>
        <v>2032</v>
      </c>
      <c r="T16" s="148">
        <f>Założenia_Predpoklady!T15</f>
        <v>2033</v>
      </c>
      <c r="U16" s="148">
        <f>Założenia_Predpoklady!U15</f>
        <v>2034</v>
      </c>
      <c r="V16" s="148">
        <f>Założenia_Predpoklady!V15</f>
        <v>2035</v>
      </c>
      <c r="W16" s="148">
        <f>Założenia_Predpoklady!W15</f>
        <v>2036</v>
      </c>
      <c r="X16" s="148">
        <f>Założenia_Predpoklady!X15</f>
        <v>2037</v>
      </c>
      <c r="Y16" s="148">
        <f>Założenia_Predpoklady!Y15</f>
        <v>2038</v>
      </c>
      <c r="Z16" s="148">
        <f>Założenia_Predpoklady!Z15</f>
        <v>2039</v>
      </c>
      <c r="AA16" s="148">
        <f>Założenia_Predpoklady!AA15</f>
        <v>2040</v>
      </c>
    </row>
    <row r="17" spans="1:27" ht="30" x14ac:dyDescent="0.25">
      <c r="B17" s="294" t="s">
        <v>95</v>
      </c>
      <c r="C17" s="4">
        <f>'Wyniki_Výsledky '!C27</f>
        <v>0</v>
      </c>
      <c r="D17" s="4">
        <f>'Wyniki_Výsledky '!D27</f>
        <v>0</v>
      </c>
      <c r="E17" s="4">
        <f>'Wyniki_Výsledky '!E27</f>
        <v>0</v>
      </c>
      <c r="F17" s="4">
        <f>'Wyniki_Výsledky '!F27</f>
        <v>0</v>
      </c>
      <c r="G17" s="4">
        <f>'Wyniki_Výsledky '!G27</f>
        <v>0</v>
      </c>
      <c r="H17" s="4">
        <f>'Wyniki_Výsledky '!H27</f>
        <v>0</v>
      </c>
      <c r="I17" s="4">
        <f>'Wyniki_Výsledky '!I27</f>
        <v>0</v>
      </c>
      <c r="J17" s="4">
        <f>'Wyniki_Výsledky '!J27</f>
        <v>0</v>
      </c>
      <c r="K17" s="4">
        <f>'Wyniki_Výsledky '!K27</f>
        <v>0</v>
      </c>
      <c r="L17" s="4">
        <f>'Wyniki_Výsledky '!L27</f>
        <v>0</v>
      </c>
      <c r="M17" s="4">
        <f>'Wyniki_Výsledky '!M27</f>
        <v>0</v>
      </c>
      <c r="N17" s="4">
        <f>'Wyniki_Výsledky '!N27</f>
        <v>0</v>
      </c>
      <c r="O17" s="4">
        <f>'Wyniki_Výsledky '!O27</f>
        <v>0</v>
      </c>
      <c r="P17" s="4">
        <f>'Wyniki_Výsledky '!P27</f>
        <v>0</v>
      </c>
      <c r="Q17" s="4">
        <f>'Wyniki_Výsledky '!Q27</f>
        <v>0</v>
      </c>
      <c r="R17" s="4">
        <f>'Wyniki_Výsledky '!R27</f>
        <v>0</v>
      </c>
      <c r="S17" s="4">
        <f>'Wyniki_Výsledky '!S27</f>
        <v>0</v>
      </c>
      <c r="T17" s="4">
        <f>'Wyniki_Výsledky '!T27</f>
        <v>0</v>
      </c>
      <c r="U17" s="4">
        <f>'Wyniki_Výsledky '!U27</f>
        <v>0</v>
      </c>
      <c r="V17" s="4">
        <f>'Wyniki_Výsledky '!V27</f>
        <v>0</v>
      </c>
      <c r="W17" s="4">
        <f>'Wyniki_Výsledky '!W27</f>
        <v>0</v>
      </c>
      <c r="X17" s="4">
        <f>'Wyniki_Výsledky '!X27</f>
        <v>0</v>
      </c>
      <c r="Y17" s="4">
        <f>'Wyniki_Výsledky '!Y27</f>
        <v>0</v>
      </c>
      <c r="Z17" s="4">
        <f>'Wyniki_Výsledky '!Z27</f>
        <v>0</v>
      </c>
      <c r="AA17" s="4">
        <f>'Wyniki_Výsledky '!AA27</f>
        <v>0</v>
      </c>
    </row>
    <row r="18" spans="1:27" ht="30" x14ac:dyDescent="0.25">
      <c r="B18" s="114" t="s">
        <v>198</v>
      </c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  <c r="N18" s="470"/>
      <c r="O18" s="470"/>
      <c r="P18" s="470"/>
      <c r="Q18" s="470"/>
      <c r="R18" s="470"/>
      <c r="S18" s="470"/>
      <c r="T18" s="470"/>
      <c r="U18" s="470"/>
      <c r="V18" s="470"/>
      <c r="W18" s="470"/>
      <c r="X18" s="470"/>
      <c r="Y18" s="470"/>
      <c r="Z18" s="470"/>
      <c r="AA18" s="470"/>
    </row>
    <row r="19" spans="1:27" ht="30" x14ac:dyDescent="0.25">
      <c r="B19" s="420" t="s">
        <v>314</v>
      </c>
      <c r="C19" s="470"/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</row>
    <row r="20" spans="1:27" ht="30" x14ac:dyDescent="0.25">
      <c r="A20" s="66"/>
      <c r="B20" s="18" t="s">
        <v>316</v>
      </c>
      <c r="C20" s="32">
        <f>IF(C16=0,0,C17-C18-C19)</f>
        <v>0</v>
      </c>
      <c r="D20" s="32">
        <f t="shared" ref="D20:Z20" si="3">IF(D16=0,0,D17-D18-D19)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 t="shared" si="3"/>
        <v>0</v>
      </c>
      <c r="K20" s="32">
        <f t="shared" si="3"/>
        <v>0</v>
      </c>
      <c r="L20" s="32">
        <f t="shared" si="3"/>
        <v>0</v>
      </c>
      <c r="M20" s="32">
        <f t="shared" si="3"/>
        <v>0</v>
      </c>
      <c r="N20" s="32">
        <f t="shared" si="3"/>
        <v>0</v>
      </c>
      <c r="O20" s="32">
        <f t="shared" si="3"/>
        <v>0</v>
      </c>
      <c r="P20" s="32">
        <f t="shared" si="3"/>
        <v>0</v>
      </c>
      <c r="Q20" s="32">
        <f t="shared" si="3"/>
        <v>0</v>
      </c>
      <c r="R20" s="32">
        <f t="shared" si="3"/>
        <v>0</v>
      </c>
      <c r="S20" s="32">
        <f t="shared" si="3"/>
        <v>0</v>
      </c>
      <c r="T20" s="32">
        <f t="shared" si="3"/>
        <v>0</v>
      </c>
      <c r="U20" s="32">
        <f t="shared" si="3"/>
        <v>0</v>
      </c>
      <c r="V20" s="32">
        <f t="shared" si="3"/>
        <v>0</v>
      </c>
      <c r="W20" s="32">
        <f t="shared" si="3"/>
        <v>0</v>
      </c>
      <c r="X20" s="32">
        <f t="shared" si="3"/>
        <v>0</v>
      </c>
      <c r="Y20" s="32">
        <f t="shared" si="3"/>
        <v>0</v>
      </c>
      <c r="Z20" s="32">
        <f t="shared" si="3"/>
        <v>0</v>
      </c>
      <c r="AA20" s="32">
        <f t="shared" ref="AA20" si="4">IF(AA16=0,0,AA17-AA18-AA19)</f>
        <v>0</v>
      </c>
    </row>
    <row r="22" spans="1:27" ht="30" x14ac:dyDescent="0.25">
      <c r="B22" s="16" t="s">
        <v>199</v>
      </c>
      <c r="C22" s="24">
        <v>1</v>
      </c>
    </row>
    <row r="24" spans="1:27" ht="30" x14ac:dyDescent="0.25">
      <c r="B24" s="18" t="s">
        <v>366</v>
      </c>
      <c r="C24" s="32">
        <f>(-C8+C14-C20)*$C$22</f>
        <v>0</v>
      </c>
      <c r="D24" s="32">
        <f t="shared" ref="D24:J24" si="5">(-D8+D14-D20)*$C$22</f>
        <v>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>(K14-K20)*$C$22</f>
        <v>0</v>
      </c>
      <c r="L24" s="32">
        <f t="shared" ref="L24:Z24" si="6">(L14-L20)*$C$22</f>
        <v>0</v>
      </c>
      <c r="M24" s="32">
        <f t="shared" si="6"/>
        <v>0</v>
      </c>
      <c r="N24" s="32">
        <f t="shared" si="6"/>
        <v>0</v>
      </c>
      <c r="O24" s="32">
        <f t="shared" si="6"/>
        <v>0</v>
      </c>
      <c r="P24" s="32">
        <f t="shared" si="6"/>
        <v>0</v>
      </c>
      <c r="Q24" s="32">
        <f t="shared" si="6"/>
        <v>0</v>
      </c>
      <c r="R24" s="32">
        <f t="shared" si="6"/>
        <v>0</v>
      </c>
      <c r="S24" s="32">
        <f t="shared" si="6"/>
        <v>0</v>
      </c>
      <c r="T24" s="32">
        <f t="shared" si="6"/>
        <v>0</v>
      </c>
      <c r="U24" s="32">
        <f t="shared" si="6"/>
        <v>0</v>
      </c>
      <c r="V24" s="32">
        <f t="shared" si="6"/>
        <v>0</v>
      </c>
      <c r="W24" s="32">
        <f t="shared" si="6"/>
        <v>0</v>
      </c>
      <c r="X24" s="32">
        <f t="shared" si="6"/>
        <v>0</v>
      </c>
      <c r="Y24" s="32">
        <f t="shared" si="6"/>
        <v>0</v>
      </c>
      <c r="Z24" s="32">
        <f t="shared" si="6"/>
        <v>0</v>
      </c>
      <c r="AA24" s="32">
        <f t="shared" ref="AA24" si="7">(AA14-AA20)*$C$22</f>
        <v>0</v>
      </c>
    </row>
    <row r="26" spans="1:27" ht="30" x14ac:dyDescent="0.25">
      <c r="A26" s="6"/>
      <c r="B26" s="335" t="s">
        <v>367</v>
      </c>
      <c r="E26" s="1"/>
      <c r="F26" s="66"/>
    </row>
    <row r="27" spans="1:27" ht="30" x14ac:dyDescent="0.25">
      <c r="B27" s="355" t="s">
        <v>200</v>
      </c>
      <c r="C27" s="24">
        <v>1</v>
      </c>
    </row>
    <row r="28" spans="1:27" x14ac:dyDescent="0.25">
      <c r="B28" s="44"/>
      <c r="C28" s="111"/>
    </row>
    <row r="29" spans="1:27" ht="30" x14ac:dyDescent="0.25">
      <c r="B29" s="272" t="s">
        <v>49</v>
      </c>
      <c r="C29" s="25">
        <f>Założenia_Predpoklady!C15</f>
        <v>2016</v>
      </c>
      <c r="D29" s="25">
        <f>Założenia_Predpoklady!D15</f>
        <v>2017</v>
      </c>
      <c r="E29" s="25">
        <f>Założenia_Predpoklady!E15</f>
        <v>2018</v>
      </c>
      <c r="F29" s="25">
        <f>Założenia_Predpoklady!F15</f>
        <v>2019</v>
      </c>
      <c r="G29" s="25">
        <f>Założenia_Predpoklady!G15</f>
        <v>2020</v>
      </c>
      <c r="H29" s="25">
        <f>Założenia_Predpoklady!H15</f>
        <v>2021</v>
      </c>
      <c r="I29" s="25">
        <f>Założenia_Predpoklady!I15</f>
        <v>2022</v>
      </c>
      <c r="J29" s="25">
        <f>Założenia_Predpoklady!J15</f>
        <v>2023</v>
      </c>
      <c r="K29" s="25">
        <f>Założenia_Predpoklady!K15</f>
        <v>2024</v>
      </c>
      <c r="L29" s="25">
        <f>Założenia_Predpoklady!L15</f>
        <v>2025</v>
      </c>
      <c r="M29" s="25">
        <f>Założenia_Predpoklady!M15</f>
        <v>2026</v>
      </c>
      <c r="N29" s="25">
        <f>Założenia_Predpoklady!N15</f>
        <v>2027</v>
      </c>
      <c r="O29" s="25">
        <f>Założenia_Predpoklady!O15</f>
        <v>2028</v>
      </c>
      <c r="P29" s="25">
        <f>Założenia_Predpoklady!P15</f>
        <v>2029</v>
      </c>
      <c r="Q29" s="25">
        <f>Założenia_Predpoklady!Q15</f>
        <v>2030</v>
      </c>
      <c r="R29" s="25">
        <f>Założenia_Predpoklady!R15</f>
        <v>2031</v>
      </c>
      <c r="S29" s="25">
        <f>Założenia_Predpoklady!S15</f>
        <v>2032</v>
      </c>
      <c r="T29" s="25">
        <f>Założenia_Predpoklady!T15</f>
        <v>2033</v>
      </c>
      <c r="U29" s="25">
        <f>Założenia_Predpoklady!U15</f>
        <v>2034</v>
      </c>
      <c r="V29" s="25">
        <f>Założenia_Predpoklady!V15</f>
        <v>2035</v>
      </c>
      <c r="W29" s="25">
        <f>Założenia_Predpoklady!W15</f>
        <v>2036</v>
      </c>
      <c r="X29" s="25">
        <f>Założenia_Predpoklady!X15</f>
        <v>2037</v>
      </c>
      <c r="Y29" s="25">
        <f>Założenia_Predpoklady!Y15</f>
        <v>2038</v>
      </c>
      <c r="Z29" s="25">
        <f>Założenia_Predpoklady!Z15</f>
        <v>2039</v>
      </c>
      <c r="AA29" s="25">
        <f>Założenia_Predpoklady!AA15</f>
        <v>2040</v>
      </c>
    </row>
    <row r="30" spans="1:27" ht="60" x14ac:dyDescent="0.25">
      <c r="B30" s="114" t="s">
        <v>368</v>
      </c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</row>
    <row r="31" spans="1:27" ht="30.75" customHeight="1" x14ac:dyDescent="0.25">
      <c r="B31" s="114" t="s">
        <v>369</v>
      </c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</row>
    <row r="32" spans="1:27" ht="30" x14ac:dyDescent="0.25">
      <c r="B32" s="112" t="s">
        <v>201</v>
      </c>
      <c r="C32" s="113">
        <f>SUM(C30:C31)</f>
        <v>0</v>
      </c>
      <c r="D32" s="113">
        <f t="shared" ref="D32:Z32" si="8">SUM(D30:D31)</f>
        <v>0</v>
      </c>
      <c r="E32" s="113">
        <f t="shared" si="8"/>
        <v>0</v>
      </c>
      <c r="F32" s="113">
        <f t="shared" si="8"/>
        <v>0</v>
      </c>
      <c r="G32" s="113">
        <f t="shared" si="8"/>
        <v>0</v>
      </c>
      <c r="H32" s="113">
        <f t="shared" si="8"/>
        <v>0</v>
      </c>
      <c r="I32" s="113">
        <f t="shared" si="8"/>
        <v>0</v>
      </c>
      <c r="J32" s="113">
        <f t="shared" si="8"/>
        <v>0</v>
      </c>
      <c r="K32" s="113">
        <f t="shared" si="8"/>
        <v>0</v>
      </c>
      <c r="L32" s="113">
        <f t="shared" si="8"/>
        <v>0</v>
      </c>
      <c r="M32" s="113">
        <f t="shared" si="8"/>
        <v>0</v>
      </c>
      <c r="N32" s="113">
        <f t="shared" si="8"/>
        <v>0</v>
      </c>
      <c r="O32" s="113">
        <f t="shared" si="8"/>
        <v>0</v>
      </c>
      <c r="P32" s="113">
        <f t="shared" si="8"/>
        <v>0</v>
      </c>
      <c r="Q32" s="113">
        <f t="shared" si="8"/>
        <v>0</v>
      </c>
      <c r="R32" s="113">
        <f t="shared" si="8"/>
        <v>0</v>
      </c>
      <c r="S32" s="113">
        <f t="shared" si="8"/>
        <v>0</v>
      </c>
      <c r="T32" s="113">
        <f t="shared" si="8"/>
        <v>0</v>
      </c>
      <c r="U32" s="113">
        <f t="shared" si="8"/>
        <v>0</v>
      </c>
      <c r="V32" s="113">
        <f t="shared" si="8"/>
        <v>0</v>
      </c>
      <c r="W32" s="113">
        <f t="shared" si="8"/>
        <v>0</v>
      </c>
      <c r="X32" s="113">
        <f t="shared" si="8"/>
        <v>0</v>
      </c>
      <c r="Y32" s="113">
        <f t="shared" si="8"/>
        <v>0</v>
      </c>
      <c r="Z32" s="113">
        <f t="shared" si="8"/>
        <v>0</v>
      </c>
      <c r="AA32" s="113">
        <f t="shared" ref="AA32" si="9">SUM(AA30:AA31)</f>
        <v>0</v>
      </c>
    </row>
    <row r="34" spans="1:27" ht="30" x14ac:dyDescent="0.25">
      <c r="B34" s="18" t="s">
        <v>202</v>
      </c>
      <c r="C34" s="31">
        <f>IF(C29=0,0,(C24*$C$27)+C32)</f>
        <v>0</v>
      </c>
      <c r="D34" s="31">
        <f t="shared" ref="D34:Z34" si="10">IF(D29=0,0,(D24*$C$27)+D32)</f>
        <v>0</v>
      </c>
      <c r="E34" s="31">
        <f t="shared" si="10"/>
        <v>0</v>
      </c>
      <c r="F34" s="31">
        <f t="shared" si="10"/>
        <v>0</v>
      </c>
      <c r="G34" s="31">
        <f t="shared" si="10"/>
        <v>0</v>
      </c>
      <c r="H34" s="31">
        <f t="shared" si="10"/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0</v>
      </c>
      <c r="Y34" s="31">
        <f t="shared" si="10"/>
        <v>0</v>
      </c>
      <c r="Z34" s="31">
        <f t="shared" si="10"/>
        <v>0</v>
      </c>
      <c r="AA34" s="31">
        <f t="shared" ref="AA34" si="11">IF(AA29=0,0,(AA24*$C$27)+AA32)</f>
        <v>0</v>
      </c>
    </row>
    <row r="35" spans="1:27" x14ac:dyDescent="0.25">
      <c r="B35" s="11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30" x14ac:dyDescent="0.25">
      <c r="B36" s="260" t="s">
        <v>234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45" customHeight="1" x14ac:dyDescent="0.25">
      <c r="B37" s="568" t="s">
        <v>13</v>
      </c>
      <c r="C37" s="568"/>
      <c r="D37" s="568"/>
      <c r="E37" s="568"/>
      <c r="F37" s="514" t="s">
        <v>348</v>
      </c>
      <c r="G37" s="514"/>
      <c r="H37" s="514"/>
      <c r="I37" s="514"/>
      <c r="J37" s="514"/>
      <c r="K37" s="46"/>
      <c r="L37" s="46"/>
      <c r="M37" s="46"/>
      <c r="N37" s="46"/>
      <c r="O37" s="46"/>
      <c r="P37" s="46"/>
      <c r="Q37" s="46"/>
      <c r="R37" s="46"/>
      <c r="S37" s="467"/>
      <c r="T37" s="467"/>
      <c r="U37" s="467"/>
      <c r="V37" s="467"/>
      <c r="W37" s="467"/>
      <c r="X37" s="467"/>
      <c r="Z37" s="36"/>
      <c r="AA37" s="36"/>
    </row>
    <row r="39" spans="1:27" ht="30" x14ac:dyDescent="0.25">
      <c r="A39" s="6"/>
      <c r="B39" s="335" t="s">
        <v>203</v>
      </c>
    </row>
    <row r="40" spans="1:27" ht="30" x14ac:dyDescent="0.25">
      <c r="B40" s="272" t="s">
        <v>49</v>
      </c>
      <c r="C40" s="25">
        <f>Założenia_Predpoklady!C15</f>
        <v>2016</v>
      </c>
      <c r="D40" s="25">
        <f>Założenia_Predpoklady!D15</f>
        <v>2017</v>
      </c>
      <c r="E40" s="25">
        <f>Założenia_Predpoklady!E15</f>
        <v>2018</v>
      </c>
      <c r="F40" s="25">
        <f>Założenia_Predpoklady!F15</f>
        <v>2019</v>
      </c>
      <c r="G40" s="25">
        <f>Założenia_Predpoklady!G15</f>
        <v>2020</v>
      </c>
      <c r="H40" s="25">
        <f>Założenia_Predpoklady!H15</f>
        <v>2021</v>
      </c>
      <c r="I40" s="25">
        <f>Założenia_Predpoklady!I15</f>
        <v>2022</v>
      </c>
      <c r="J40" s="25">
        <f>Założenia_Predpoklady!J15</f>
        <v>2023</v>
      </c>
      <c r="K40" s="25">
        <f>Założenia_Predpoklady!K15</f>
        <v>2024</v>
      </c>
      <c r="L40" s="25">
        <f>Założenia_Predpoklady!L15</f>
        <v>2025</v>
      </c>
      <c r="M40" s="25">
        <f>Założenia_Predpoklady!M15</f>
        <v>2026</v>
      </c>
      <c r="N40" s="25">
        <f>Założenia_Predpoklady!N15</f>
        <v>2027</v>
      </c>
      <c r="O40" s="25">
        <f>Założenia_Predpoklady!O15</f>
        <v>2028</v>
      </c>
      <c r="P40" s="25">
        <f>Założenia_Predpoklady!P15</f>
        <v>2029</v>
      </c>
      <c r="Q40" s="25">
        <f>Założenia_Predpoklady!Q15</f>
        <v>2030</v>
      </c>
      <c r="R40" s="25">
        <f>Założenia_Predpoklady!R15</f>
        <v>2031</v>
      </c>
      <c r="S40" s="25">
        <f>Założenia_Predpoklady!S15</f>
        <v>2032</v>
      </c>
      <c r="T40" s="25">
        <f>Założenia_Predpoklady!T15</f>
        <v>2033</v>
      </c>
      <c r="U40" s="25">
        <f>Założenia_Predpoklady!U15</f>
        <v>2034</v>
      </c>
      <c r="V40" s="25">
        <f>Założenia_Predpoklady!V15</f>
        <v>2035</v>
      </c>
      <c r="W40" s="25">
        <f>Założenia_Predpoklady!W15</f>
        <v>2036</v>
      </c>
      <c r="X40" s="25">
        <f>Założenia_Predpoklady!X15</f>
        <v>2037</v>
      </c>
      <c r="Y40" s="25">
        <f>Założenia_Predpoklady!Y15</f>
        <v>2038</v>
      </c>
      <c r="Z40" s="25">
        <f>Założenia_Predpoklady!Z15</f>
        <v>2039</v>
      </c>
      <c r="AA40" s="25">
        <f>Założenia_Predpoklady!AA15</f>
        <v>2040</v>
      </c>
    </row>
    <row r="41" spans="1:27" ht="36" x14ac:dyDescent="0.35">
      <c r="B41" s="304" t="s">
        <v>147</v>
      </c>
      <c r="C41" s="222">
        <f>'An. ruchu_An. cestnej premávky'!C86</f>
        <v>0</v>
      </c>
      <c r="D41" s="222">
        <f>'An. ruchu_An. cestnej premávky'!D86</f>
        <v>0</v>
      </c>
      <c r="E41" s="222">
        <f>'An. ruchu_An. cestnej premávky'!E86</f>
        <v>0</v>
      </c>
      <c r="F41" s="222">
        <f>'An. ruchu_An. cestnej premávky'!F86</f>
        <v>0</v>
      </c>
      <c r="G41" s="222">
        <f>'An. ruchu_An. cestnej premávky'!G86</f>
        <v>0</v>
      </c>
      <c r="H41" s="222">
        <f>'An. ruchu_An. cestnej premávky'!H86</f>
        <v>0</v>
      </c>
      <c r="I41" s="222">
        <f>'An. ruchu_An. cestnej premávky'!I86</f>
        <v>0</v>
      </c>
      <c r="J41" s="222">
        <f>'An. ruchu_An. cestnej premávky'!J86</f>
        <v>0</v>
      </c>
      <c r="K41" s="222">
        <f>'An. ruchu_An. cestnej premávky'!K86</f>
        <v>0</v>
      </c>
      <c r="L41" s="222">
        <f>'An. ruchu_An. cestnej premávky'!L86</f>
        <v>0</v>
      </c>
      <c r="M41" s="222">
        <f>'An. ruchu_An. cestnej premávky'!M86</f>
        <v>0</v>
      </c>
      <c r="N41" s="222">
        <f>'An. ruchu_An. cestnej premávky'!N86</f>
        <v>0</v>
      </c>
      <c r="O41" s="222">
        <f>'An. ruchu_An. cestnej premávky'!O86</f>
        <v>0</v>
      </c>
      <c r="P41" s="222">
        <f>'An. ruchu_An. cestnej premávky'!P86</f>
        <v>0</v>
      </c>
      <c r="Q41" s="222">
        <f>'An. ruchu_An. cestnej premávky'!Q86</f>
        <v>0</v>
      </c>
      <c r="R41" s="222">
        <f>'An. ruchu_An. cestnej premávky'!R86</f>
        <v>0</v>
      </c>
      <c r="S41" s="222">
        <f>'An. ruchu_An. cestnej premávky'!S86</f>
        <v>0</v>
      </c>
      <c r="T41" s="222">
        <f>'An. ruchu_An. cestnej premávky'!T86</f>
        <v>0</v>
      </c>
      <c r="U41" s="222">
        <f>'An. ruchu_An. cestnej premávky'!U86</f>
        <v>0</v>
      </c>
      <c r="V41" s="222">
        <f>'An. ruchu_An. cestnej premávky'!V86</f>
        <v>0</v>
      </c>
      <c r="W41" s="222">
        <f>'An. ruchu_An. cestnej premávky'!W86</f>
        <v>0</v>
      </c>
      <c r="X41" s="222">
        <f>'An. ruchu_An. cestnej premávky'!X86</f>
        <v>0</v>
      </c>
      <c r="Y41" s="222">
        <f>'An. ruchu_An. cestnej premávky'!Y86</f>
        <v>0</v>
      </c>
      <c r="Z41" s="222">
        <f>'An. ruchu_An. cestnej premávky'!Z86</f>
        <v>0</v>
      </c>
      <c r="AA41" s="222">
        <f>'An. ruchu_An. cestnej premávky'!AA86</f>
        <v>0</v>
      </c>
    </row>
    <row r="42" spans="1:27" ht="36" x14ac:dyDescent="0.35">
      <c r="B42" s="304" t="s">
        <v>156</v>
      </c>
      <c r="C42" s="222" t="e">
        <f>'An. ruchu_An. cestnej premávky'!C103</f>
        <v>#DIV/0!</v>
      </c>
      <c r="D42" s="222" t="e">
        <f>'An. ruchu_An. cestnej premávky'!D103</f>
        <v>#DIV/0!</v>
      </c>
      <c r="E42" s="222" t="e">
        <f>'An. ruchu_An. cestnej premávky'!E103</f>
        <v>#DIV/0!</v>
      </c>
      <c r="F42" s="222" t="e">
        <f>'An. ruchu_An. cestnej premávky'!F103</f>
        <v>#DIV/0!</v>
      </c>
      <c r="G42" s="222" t="e">
        <f>'An. ruchu_An. cestnej premávky'!G103</f>
        <v>#DIV/0!</v>
      </c>
      <c r="H42" s="222" t="e">
        <f>'An. ruchu_An. cestnej premávky'!H103</f>
        <v>#DIV/0!</v>
      </c>
      <c r="I42" s="222" t="e">
        <f>'An. ruchu_An. cestnej premávky'!I103</f>
        <v>#DIV/0!</v>
      </c>
      <c r="J42" s="222" t="e">
        <f>'An. ruchu_An. cestnej premávky'!J103</f>
        <v>#DIV/0!</v>
      </c>
      <c r="K42" s="222" t="e">
        <f>'An. ruchu_An. cestnej premávky'!K103</f>
        <v>#DIV/0!</v>
      </c>
      <c r="L42" s="222" t="e">
        <f>'An. ruchu_An. cestnej premávky'!L103</f>
        <v>#DIV/0!</v>
      </c>
      <c r="M42" s="222" t="e">
        <f>'An. ruchu_An. cestnej premávky'!M103</f>
        <v>#DIV/0!</v>
      </c>
      <c r="N42" s="222" t="e">
        <f>'An. ruchu_An. cestnej premávky'!N103</f>
        <v>#DIV/0!</v>
      </c>
      <c r="O42" s="222" t="e">
        <f>'An. ruchu_An. cestnej premávky'!O103</f>
        <v>#DIV/0!</v>
      </c>
      <c r="P42" s="222" t="e">
        <f>'An. ruchu_An. cestnej premávky'!P103</f>
        <v>#DIV/0!</v>
      </c>
      <c r="Q42" s="222" t="e">
        <f>'An. ruchu_An. cestnej premávky'!Q103</f>
        <v>#DIV/0!</v>
      </c>
      <c r="R42" s="222" t="e">
        <f>'An. ruchu_An. cestnej premávky'!R103</f>
        <v>#DIV/0!</v>
      </c>
      <c r="S42" s="222" t="e">
        <f>'An. ruchu_An. cestnej premávky'!S103</f>
        <v>#DIV/0!</v>
      </c>
      <c r="T42" s="222" t="e">
        <f>'An. ruchu_An. cestnej premávky'!T103</f>
        <v>#DIV/0!</v>
      </c>
      <c r="U42" s="222" t="e">
        <f>'An. ruchu_An. cestnej premávky'!U103</f>
        <v>#DIV/0!</v>
      </c>
      <c r="V42" s="222" t="e">
        <f>'An. ruchu_An. cestnej premávky'!V103</f>
        <v>#DIV/0!</v>
      </c>
      <c r="W42" s="222" t="e">
        <f>'An. ruchu_An. cestnej premávky'!W103</f>
        <v>#DIV/0!</v>
      </c>
      <c r="X42" s="222" t="e">
        <f>'An. ruchu_An. cestnej premávky'!X103</f>
        <v>#DIV/0!</v>
      </c>
      <c r="Y42" s="222" t="e">
        <f>'An. ruchu_An. cestnej premávky'!Y103</f>
        <v>#DIV/0!</v>
      </c>
      <c r="Z42" s="222" t="e">
        <f>'An. ruchu_An. cestnej premávky'!Z103</f>
        <v>#DIV/0!</v>
      </c>
      <c r="AA42" s="222" t="e">
        <f>'An. ruchu_An. cestnej premávky'!AA103</f>
        <v>#DIV/0!</v>
      </c>
    </row>
    <row r="43" spans="1:27" ht="36" x14ac:dyDescent="0.35">
      <c r="B43" s="304" t="s">
        <v>157</v>
      </c>
      <c r="C43" s="222" t="e">
        <f>'An. ruchu_An. cestnej premávky'!C120</f>
        <v>#DIV/0!</v>
      </c>
      <c r="D43" s="222" t="e">
        <f>'An. ruchu_An. cestnej premávky'!D120</f>
        <v>#DIV/0!</v>
      </c>
      <c r="E43" s="222" t="e">
        <f>'An. ruchu_An. cestnej premávky'!E120</f>
        <v>#DIV/0!</v>
      </c>
      <c r="F43" s="222" t="e">
        <f>'An. ruchu_An. cestnej premávky'!F120</f>
        <v>#DIV/0!</v>
      </c>
      <c r="G43" s="222" t="e">
        <f>'An. ruchu_An. cestnej premávky'!G120</f>
        <v>#DIV/0!</v>
      </c>
      <c r="H43" s="222" t="e">
        <f>'An. ruchu_An. cestnej premávky'!H120</f>
        <v>#DIV/0!</v>
      </c>
      <c r="I43" s="222" t="e">
        <f>'An. ruchu_An. cestnej premávky'!I120</f>
        <v>#DIV/0!</v>
      </c>
      <c r="J43" s="222" t="e">
        <f>'An. ruchu_An. cestnej premávky'!J120</f>
        <v>#DIV/0!</v>
      </c>
      <c r="K43" s="222" t="e">
        <f>'An. ruchu_An. cestnej premávky'!K120</f>
        <v>#DIV/0!</v>
      </c>
      <c r="L43" s="222" t="e">
        <f>'An. ruchu_An. cestnej premávky'!L120</f>
        <v>#DIV/0!</v>
      </c>
      <c r="M43" s="222" t="e">
        <f>'An. ruchu_An. cestnej premávky'!M120</f>
        <v>#DIV/0!</v>
      </c>
      <c r="N43" s="222" t="e">
        <f>'An. ruchu_An. cestnej premávky'!N120</f>
        <v>#DIV/0!</v>
      </c>
      <c r="O43" s="222" t="e">
        <f>'An. ruchu_An. cestnej premávky'!O120</f>
        <v>#DIV/0!</v>
      </c>
      <c r="P43" s="222" t="e">
        <f>'An. ruchu_An. cestnej premávky'!P120</f>
        <v>#DIV/0!</v>
      </c>
      <c r="Q43" s="222" t="e">
        <f>'An. ruchu_An. cestnej premávky'!Q120</f>
        <v>#DIV/0!</v>
      </c>
      <c r="R43" s="222" t="e">
        <f>'An. ruchu_An. cestnej premávky'!R120</f>
        <v>#DIV/0!</v>
      </c>
      <c r="S43" s="222" t="e">
        <f>'An. ruchu_An. cestnej premávky'!S120</f>
        <v>#DIV/0!</v>
      </c>
      <c r="T43" s="222" t="e">
        <f>'An. ruchu_An. cestnej premávky'!T120</f>
        <v>#DIV/0!</v>
      </c>
      <c r="U43" s="222" t="e">
        <f>'An. ruchu_An. cestnej premávky'!U120</f>
        <v>#DIV/0!</v>
      </c>
      <c r="V43" s="222" t="e">
        <f>'An. ruchu_An. cestnej premávky'!V120</f>
        <v>#DIV/0!</v>
      </c>
      <c r="W43" s="222" t="e">
        <f>'An. ruchu_An. cestnej premávky'!W120</f>
        <v>#DIV/0!</v>
      </c>
      <c r="X43" s="222" t="e">
        <f>'An. ruchu_An. cestnej premávky'!X120</f>
        <v>#DIV/0!</v>
      </c>
      <c r="Y43" s="222" t="e">
        <f>'An. ruchu_An. cestnej premávky'!Y120</f>
        <v>#DIV/0!</v>
      </c>
      <c r="Z43" s="222" t="e">
        <f>'An. ruchu_An. cestnej premávky'!Z120</f>
        <v>#DIV/0!</v>
      </c>
      <c r="AA43" s="222" t="e">
        <f>'An. ruchu_An. cestnej premávky'!AA120</f>
        <v>#DIV/0!</v>
      </c>
    </row>
    <row r="44" spans="1:27" ht="36" x14ac:dyDescent="0.35">
      <c r="B44" s="304" t="s">
        <v>175</v>
      </c>
      <c r="C44" s="222" t="e">
        <f>'An. ruchu_An. cestnej premávky'!C157</f>
        <v>#DIV/0!</v>
      </c>
      <c r="D44" s="222" t="e">
        <f>'An. ruchu_An. cestnej premávky'!D157</f>
        <v>#DIV/0!</v>
      </c>
      <c r="E44" s="222" t="e">
        <f>'An. ruchu_An. cestnej premávky'!E157</f>
        <v>#DIV/0!</v>
      </c>
      <c r="F44" s="222" t="e">
        <f>'An. ruchu_An. cestnej premávky'!F157</f>
        <v>#DIV/0!</v>
      </c>
      <c r="G44" s="222" t="e">
        <f>'An. ruchu_An. cestnej premávky'!G157</f>
        <v>#DIV/0!</v>
      </c>
      <c r="H44" s="222" t="e">
        <f>'An. ruchu_An. cestnej premávky'!H157</f>
        <v>#DIV/0!</v>
      </c>
      <c r="I44" s="222" t="e">
        <f>'An. ruchu_An. cestnej premávky'!I157</f>
        <v>#DIV/0!</v>
      </c>
      <c r="J44" s="222" t="e">
        <f>'An. ruchu_An. cestnej premávky'!J157</f>
        <v>#DIV/0!</v>
      </c>
      <c r="K44" s="222" t="e">
        <f>'An. ruchu_An. cestnej premávky'!K157</f>
        <v>#DIV/0!</v>
      </c>
      <c r="L44" s="222" t="e">
        <f>'An. ruchu_An. cestnej premávky'!L157</f>
        <v>#DIV/0!</v>
      </c>
      <c r="M44" s="222" t="e">
        <f>'An. ruchu_An. cestnej premávky'!M157</f>
        <v>#DIV/0!</v>
      </c>
      <c r="N44" s="222" t="e">
        <f>'An. ruchu_An. cestnej premávky'!N157</f>
        <v>#DIV/0!</v>
      </c>
      <c r="O44" s="222" t="e">
        <f>'An. ruchu_An. cestnej premávky'!O157</f>
        <v>#DIV/0!</v>
      </c>
      <c r="P44" s="222" t="e">
        <f>'An. ruchu_An. cestnej premávky'!P157</f>
        <v>#DIV/0!</v>
      </c>
      <c r="Q44" s="222" t="e">
        <f>'An. ruchu_An. cestnej premávky'!Q157</f>
        <v>#DIV/0!</v>
      </c>
      <c r="R44" s="222" t="e">
        <f>'An. ruchu_An. cestnej premávky'!R157</f>
        <v>#DIV/0!</v>
      </c>
      <c r="S44" s="222" t="e">
        <f>'An. ruchu_An. cestnej premávky'!S157</f>
        <v>#DIV/0!</v>
      </c>
      <c r="T44" s="222" t="e">
        <f>'An. ruchu_An. cestnej premávky'!T157</f>
        <v>#DIV/0!</v>
      </c>
      <c r="U44" s="222" t="e">
        <f>'An. ruchu_An. cestnej premávky'!U157</f>
        <v>#DIV/0!</v>
      </c>
      <c r="V44" s="222" t="e">
        <f>'An. ruchu_An. cestnej premávky'!V157</f>
        <v>#DIV/0!</v>
      </c>
      <c r="W44" s="222" t="e">
        <f>'An. ruchu_An. cestnej premávky'!W157</f>
        <v>#DIV/0!</v>
      </c>
      <c r="X44" s="222" t="e">
        <f>'An. ruchu_An. cestnej premávky'!X157</f>
        <v>#DIV/0!</v>
      </c>
      <c r="Y44" s="222" t="e">
        <f>'An. ruchu_An. cestnej premávky'!Y157</f>
        <v>#DIV/0!</v>
      </c>
      <c r="Z44" s="222" t="e">
        <f>'An. ruchu_An. cestnej premávky'!Z157</f>
        <v>#DIV/0!</v>
      </c>
      <c r="AA44" s="222" t="e">
        <f>'An. ruchu_An. cestnej premávky'!AA157</f>
        <v>#DIV/0!</v>
      </c>
    </row>
    <row r="45" spans="1:27" ht="36" x14ac:dyDescent="0.35">
      <c r="B45" s="304" t="s">
        <v>181</v>
      </c>
      <c r="C45" s="222">
        <f>'An. ruchu_An. cestnej premávky'!C187</f>
        <v>0</v>
      </c>
      <c r="D45" s="222" t="e">
        <f>'An. ruchu_An. cestnej premávky'!D187</f>
        <v>#DIV/0!</v>
      </c>
      <c r="E45" s="222" t="e">
        <f>'An. ruchu_An. cestnej premávky'!E187</f>
        <v>#DIV/0!</v>
      </c>
      <c r="F45" s="222" t="e">
        <f>'An. ruchu_An. cestnej premávky'!F187</f>
        <v>#DIV/0!</v>
      </c>
      <c r="G45" s="222" t="e">
        <f>'An. ruchu_An. cestnej premávky'!G187</f>
        <v>#DIV/0!</v>
      </c>
      <c r="H45" s="222" t="e">
        <f>'An. ruchu_An. cestnej premávky'!H187</f>
        <v>#DIV/0!</v>
      </c>
      <c r="I45" s="222" t="e">
        <f>'An. ruchu_An. cestnej premávky'!I187</f>
        <v>#DIV/0!</v>
      </c>
      <c r="J45" s="222" t="e">
        <f>'An. ruchu_An. cestnej premávky'!J187</f>
        <v>#DIV/0!</v>
      </c>
      <c r="K45" s="222" t="e">
        <f>'An. ruchu_An. cestnej premávky'!K187</f>
        <v>#DIV/0!</v>
      </c>
      <c r="L45" s="222" t="e">
        <f>'An. ruchu_An. cestnej premávky'!L187</f>
        <v>#DIV/0!</v>
      </c>
      <c r="M45" s="222" t="e">
        <f>'An. ruchu_An. cestnej premávky'!M187</f>
        <v>#DIV/0!</v>
      </c>
      <c r="N45" s="222" t="e">
        <f>'An. ruchu_An. cestnej premávky'!N187</f>
        <v>#DIV/0!</v>
      </c>
      <c r="O45" s="222" t="e">
        <f>'An. ruchu_An. cestnej premávky'!O187</f>
        <v>#DIV/0!</v>
      </c>
      <c r="P45" s="222" t="e">
        <f>'An. ruchu_An. cestnej premávky'!P187</f>
        <v>#DIV/0!</v>
      </c>
      <c r="Q45" s="222" t="e">
        <f>'An. ruchu_An. cestnej premávky'!Q187</f>
        <v>#DIV/0!</v>
      </c>
      <c r="R45" s="222" t="e">
        <f>'An. ruchu_An. cestnej premávky'!R187</f>
        <v>#DIV/0!</v>
      </c>
      <c r="S45" s="222" t="e">
        <f>'An. ruchu_An. cestnej premávky'!S187</f>
        <v>#DIV/0!</v>
      </c>
      <c r="T45" s="222" t="e">
        <f>'An. ruchu_An. cestnej premávky'!T187</f>
        <v>#DIV/0!</v>
      </c>
      <c r="U45" s="222" t="e">
        <f>'An. ruchu_An. cestnej premávky'!U187</f>
        <v>#DIV/0!</v>
      </c>
      <c r="V45" s="222" t="e">
        <f>'An. ruchu_An. cestnej premávky'!V187</f>
        <v>#DIV/0!</v>
      </c>
      <c r="W45" s="222" t="e">
        <f>'An. ruchu_An. cestnej premávky'!W187</f>
        <v>#DIV/0!</v>
      </c>
      <c r="X45" s="222" t="e">
        <f>'An. ruchu_An. cestnej premávky'!X187</f>
        <v>#DIV/0!</v>
      </c>
      <c r="Y45" s="222" t="e">
        <f>'An. ruchu_An. cestnej premávky'!Y187</f>
        <v>#DIV/0!</v>
      </c>
      <c r="Z45" s="222" t="e">
        <f>'An. ruchu_An. cestnej premávky'!Z187</f>
        <v>#DIV/0!</v>
      </c>
      <c r="AA45" s="222" t="e">
        <f>'An. ruchu_An. cestnej premávky'!AA187</f>
        <v>#DIV/0!</v>
      </c>
    </row>
    <row r="46" spans="1:27" ht="30" x14ac:dyDescent="0.25">
      <c r="B46" s="112" t="s">
        <v>201</v>
      </c>
      <c r="C46" s="113" t="e">
        <f t="shared" ref="C46:AA46" si="12">IF(C40=0,0,SUM(C41:C45))</f>
        <v>#DIV/0!</v>
      </c>
      <c r="D46" s="113" t="e">
        <f t="shared" si="12"/>
        <v>#DIV/0!</v>
      </c>
      <c r="E46" s="113" t="e">
        <f t="shared" si="12"/>
        <v>#DIV/0!</v>
      </c>
      <c r="F46" s="113" t="e">
        <f t="shared" si="12"/>
        <v>#DIV/0!</v>
      </c>
      <c r="G46" s="113" t="e">
        <f t="shared" si="12"/>
        <v>#DIV/0!</v>
      </c>
      <c r="H46" s="113" t="e">
        <f t="shared" si="12"/>
        <v>#DIV/0!</v>
      </c>
      <c r="I46" s="113" t="e">
        <f t="shared" si="12"/>
        <v>#DIV/0!</v>
      </c>
      <c r="J46" s="113" t="e">
        <f t="shared" si="12"/>
        <v>#DIV/0!</v>
      </c>
      <c r="K46" s="113" t="e">
        <f t="shared" si="12"/>
        <v>#DIV/0!</v>
      </c>
      <c r="L46" s="113" t="e">
        <f t="shared" si="12"/>
        <v>#DIV/0!</v>
      </c>
      <c r="M46" s="113" t="e">
        <f t="shared" si="12"/>
        <v>#DIV/0!</v>
      </c>
      <c r="N46" s="113" t="e">
        <f t="shared" si="12"/>
        <v>#DIV/0!</v>
      </c>
      <c r="O46" s="113" t="e">
        <f t="shared" si="12"/>
        <v>#DIV/0!</v>
      </c>
      <c r="P46" s="113" t="e">
        <f t="shared" si="12"/>
        <v>#DIV/0!</v>
      </c>
      <c r="Q46" s="113" t="e">
        <f t="shared" si="12"/>
        <v>#DIV/0!</v>
      </c>
      <c r="R46" s="113" t="e">
        <f t="shared" si="12"/>
        <v>#DIV/0!</v>
      </c>
      <c r="S46" s="113" t="e">
        <f t="shared" si="12"/>
        <v>#DIV/0!</v>
      </c>
      <c r="T46" s="113" t="e">
        <f t="shared" si="12"/>
        <v>#DIV/0!</v>
      </c>
      <c r="U46" s="113" t="e">
        <f t="shared" si="12"/>
        <v>#DIV/0!</v>
      </c>
      <c r="V46" s="113" t="e">
        <f t="shared" si="12"/>
        <v>#DIV/0!</v>
      </c>
      <c r="W46" s="113" t="e">
        <f t="shared" si="12"/>
        <v>#DIV/0!</v>
      </c>
      <c r="X46" s="113" t="e">
        <f t="shared" si="12"/>
        <v>#DIV/0!</v>
      </c>
      <c r="Y46" s="113" t="e">
        <f t="shared" si="12"/>
        <v>#DIV/0!</v>
      </c>
      <c r="Z46" s="113" t="e">
        <f t="shared" si="12"/>
        <v>#DIV/0!</v>
      </c>
      <c r="AA46" s="113" t="e">
        <f t="shared" si="12"/>
        <v>#DIV/0!</v>
      </c>
    </row>
    <row r="47" spans="1:27" ht="3" customHeight="1" x14ac:dyDescent="0.25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30" x14ac:dyDescent="0.25">
      <c r="B48" s="260" t="s">
        <v>234</v>
      </c>
      <c r="C48" s="214"/>
      <c r="D48" s="214"/>
      <c r="E48" s="214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27" ht="30" customHeight="1" x14ac:dyDescent="0.25">
      <c r="B49" s="461" t="s">
        <v>418</v>
      </c>
      <c r="C49" s="569" t="s">
        <v>417</v>
      </c>
      <c r="D49" s="569"/>
      <c r="E49" s="569"/>
      <c r="F49" s="471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</row>
    <row r="50" spans="1:27" x14ac:dyDescent="0.25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</row>
    <row r="51" spans="1:27" ht="30.75" customHeight="1" x14ac:dyDescent="0.25">
      <c r="A51" s="6"/>
      <c r="B51" s="539" t="s">
        <v>210</v>
      </c>
      <c r="C51" s="539"/>
    </row>
    <row r="52" spans="1:27" ht="30" x14ac:dyDescent="0.25">
      <c r="B52" s="272" t="s">
        <v>49</v>
      </c>
      <c r="C52" s="25">
        <f>Założenia_Predpoklady!C15</f>
        <v>2016</v>
      </c>
      <c r="D52" s="25">
        <f>Założenia_Predpoklady!D15</f>
        <v>2017</v>
      </c>
      <c r="E52" s="25">
        <f>Założenia_Predpoklady!E15</f>
        <v>2018</v>
      </c>
      <c r="F52" s="25">
        <f>Założenia_Predpoklady!F15</f>
        <v>2019</v>
      </c>
      <c r="G52" s="25">
        <f>Założenia_Predpoklady!G15</f>
        <v>2020</v>
      </c>
      <c r="H52" s="25">
        <f>Założenia_Predpoklady!H15</f>
        <v>2021</v>
      </c>
      <c r="I52" s="25">
        <f>Założenia_Predpoklady!I15</f>
        <v>2022</v>
      </c>
      <c r="J52" s="25">
        <f>Założenia_Predpoklady!J15</f>
        <v>2023</v>
      </c>
      <c r="K52" s="25">
        <f>Założenia_Predpoklady!K15</f>
        <v>2024</v>
      </c>
      <c r="L52" s="25">
        <f>Założenia_Predpoklady!L15</f>
        <v>2025</v>
      </c>
      <c r="M52" s="25">
        <f>Założenia_Predpoklady!M15</f>
        <v>2026</v>
      </c>
      <c r="N52" s="25">
        <f>Założenia_Predpoklady!N15</f>
        <v>2027</v>
      </c>
      <c r="O52" s="25">
        <f>Założenia_Predpoklady!O15</f>
        <v>2028</v>
      </c>
      <c r="P52" s="25">
        <f>Założenia_Predpoklady!P15</f>
        <v>2029</v>
      </c>
      <c r="Q52" s="25">
        <f>Założenia_Predpoklady!Q15</f>
        <v>2030</v>
      </c>
      <c r="R52" s="25">
        <f>Założenia_Predpoklady!R15</f>
        <v>2031</v>
      </c>
      <c r="S52" s="25">
        <f>Założenia_Predpoklady!S15</f>
        <v>2032</v>
      </c>
      <c r="T52" s="25">
        <f>Założenia_Predpoklady!T15</f>
        <v>2033</v>
      </c>
      <c r="U52" s="25">
        <f>Założenia_Predpoklady!U15</f>
        <v>2034</v>
      </c>
      <c r="V52" s="25">
        <f>Założenia_Predpoklady!V15</f>
        <v>2035</v>
      </c>
      <c r="W52" s="25">
        <f>Założenia_Predpoklady!W15</f>
        <v>2036</v>
      </c>
      <c r="X52" s="25">
        <f>Założenia_Predpoklady!X15</f>
        <v>2037</v>
      </c>
      <c r="Y52" s="25">
        <f>Założenia_Predpoklady!Y15</f>
        <v>2038</v>
      </c>
      <c r="Z52" s="25">
        <f>Założenia_Predpoklady!Z15</f>
        <v>2039</v>
      </c>
      <c r="AA52" s="25">
        <f>Założenia_Predpoklady!AA15</f>
        <v>2040</v>
      </c>
    </row>
    <row r="53" spans="1:27" ht="30" x14ac:dyDescent="0.25">
      <c r="B53" s="18" t="s">
        <v>202</v>
      </c>
      <c r="C53" s="233">
        <f>C34</f>
        <v>0</v>
      </c>
      <c r="D53" s="233">
        <f t="shared" ref="D53:AA53" si="13">D34</f>
        <v>0</v>
      </c>
      <c r="E53" s="233">
        <f t="shared" si="13"/>
        <v>0</v>
      </c>
      <c r="F53" s="233">
        <f t="shared" si="13"/>
        <v>0</v>
      </c>
      <c r="G53" s="233">
        <f t="shared" si="13"/>
        <v>0</v>
      </c>
      <c r="H53" s="233">
        <f t="shared" si="13"/>
        <v>0</v>
      </c>
      <c r="I53" s="233">
        <f t="shared" si="13"/>
        <v>0</v>
      </c>
      <c r="J53" s="233">
        <f t="shared" si="13"/>
        <v>0</v>
      </c>
      <c r="K53" s="233">
        <f t="shared" si="13"/>
        <v>0</v>
      </c>
      <c r="L53" s="233">
        <f t="shared" si="13"/>
        <v>0</v>
      </c>
      <c r="M53" s="233">
        <f t="shared" si="13"/>
        <v>0</v>
      </c>
      <c r="N53" s="233">
        <f t="shared" si="13"/>
        <v>0</v>
      </c>
      <c r="O53" s="233">
        <f t="shared" si="13"/>
        <v>0</v>
      </c>
      <c r="P53" s="233">
        <f t="shared" si="13"/>
        <v>0</v>
      </c>
      <c r="Q53" s="233">
        <f t="shared" si="13"/>
        <v>0</v>
      </c>
      <c r="R53" s="233">
        <f t="shared" si="13"/>
        <v>0</v>
      </c>
      <c r="S53" s="233">
        <f t="shared" si="13"/>
        <v>0</v>
      </c>
      <c r="T53" s="233">
        <f t="shared" si="13"/>
        <v>0</v>
      </c>
      <c r="U53" s="233">
        <f t="shared" si="13"/>
        <v>0</v>
      </c>
      <c r="V53" s="233">
        <f t="shared" si="13"/>
        <v>0</v>
      </c>
      <c r="W53" s="233">
        <f t="shared" si="13"/>
        <v>0</v>
      </c>
      <c r="X53" s="233">
        <f t="shared" si="13"/>
        <v>0</v>
      </c>
      <c r="Y53" s="233">
        <f t="shared" si="13"/>
        <v>0</v>
      </c>
      <c r="Z53" s="233">
        <f t="shared" si="13"/>
        <v>0</v>
      </c>
      <c r="AA53" s="234">
        <f t="shared" si="13"/>
        <v>0</v>
      </c>
    </row>
    <row r="54" spans="1:27" ht="30" x14ac:dyDescent="0.25">
      <c r="B54" s="305" t="s">
        <v>109</v>
      </c>
      <c r="C54" s="235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7"/>
      <c r="AA54" s="237">
        <f>'Wyniki_Výsledky '!AA26</f>
        <v>0</v>
      </c>
    </row>
    <row r="55" spans="1:27" ht="30" x14ac:dyDescent="0.25">
      <c r="B55" s="16" t="s">
        <v>204</v>
      </c>
      <c r="C55" s="238" t="e">
        <f>C46</f>
        <v>#DIV/0!</v>
      </c>
      <c r="D55" s="238" t="e">
        <f t="shared" ref="D55:AA55" si="14">D46</f>
        <v>#DIV/0!</v>
      </c>
      <c r="E55" s="238" t="e">
        <f t="shared" si="14"/>
        <v>#DIV/0!</v>
      </c>
      <c r="F55" s="238" t="e">
        <f>F46</f>
        <v>#DIV/0!</v>
      </c>
      <c r="G55" s="238" t="e">
        <f t="shared" si="14"/>
        <v>#DIV/0!</v>
      </c>
      <c r="H55" s="238" t="e">
        <f t="shared" si="14"/>
        <v>#DIV/0!</v>
      </c>
      <c r="I55" s="238" t="e">
        <f t="shared" si="14"/>
        <v>#DIV/0!</v>
      </c>
      <c r="J55" s="238" t="e">
        <f t="shared" si="14"/>
        <v>#DIV/0!</v>
      </c>
      <c r="K55" s="238" t="e">
        <f t="shared" si="14"/>
        <v>#DIV/0!</v>
      </c>
      <c r="L55" s="238" t="e">
        <f t="shared" si="14"/>
        <v>#DIV/0!</v>
      </c>
      <c r="M55" s="238" t="e">
        <f t="shared" si="14"/>
        <v>#DIV/0!</v>
      </c>
      <c r="N55" s="238" t="e">
        <f t="shared" si="14"/>
        <v>#DIV/0!</v>
      </c>
      <c r="O55" s="238" t="e">
        <f t="shared" si="14"/>
        <v>#DIV/0!</v>
      </c>
      <c r="P55" s="238" t="e">
        <f t="shared" si="14"/>
        <v>#DIV/0!</v>
      </c>
      <c r="Q55" s="238" t="e">
        <f t="shared" si="14"/>
        <v>#DIV/0!</v>
      </c>
      <c r="R55" s="238" t="e">
        <f t="shared" si="14"/>
        <v>#DIV/0!</v>
      </c>
      <c r="S55" s="238" t="e">
        <f t="shared" si="14"/>
        <v>#DIV/0!</v>
      </c>
      <c r="T55" s="238" t="e">
        <f t="shared" si="14"/>
        <v>#DIV/0!</v>
      </c>
      <c r="U55" s="238" t="e">
        <f t="shared" si="14"/>
        <v>#DIV/0!</v>
      </c>
      <c r="V55" s="238" t="e">
        <f t="shared" si="14"/>
        <v>#DIV/0!</v>
      </c>
      <c r="W55" s="238" t="e">
        <f t="shared" si="14"/>
        <v>#DIV/0!</v>
      </c>
      <c r="X55" s="238" t="e">
        <f t="shared" si="14"/>
        <v>#DIV/0!</v>
      </c>
      <c r="Y55" s="238" t="e">
        <f t="shared" si="14"/>
        <v>#DIV/0!</v>
      </c>
      <c r="Z55" s="238" t="e">
        <f t="shared" si="14"/>
        <v>#DIV/0!</v>
      </c>
      <c r="AA55" s="24" t="e">
        <f t="shared" si="14"/>
        <v>#DIV/0!</v>
      </c>
    </row>
    <row r="56" spans="1:27" ht="30" x14ac:dyDescent="0.25">
      <c r="B56" s="18" t="s">
        <v>205</v>
      </c>
      <c r="C56" s="31" t="e">
        <f>SUM(C53:C55)</f>
        <v>#DIV/0!</v>
      </c>
      <c r="D56" s="31" t="e">
        <f t="shared" ref="D56:AA56" si="15">SUM(D53:D55)</f>
        <v>#DIV/0!</v>
      </c>
      <c r="E56" s="31" t="e">
        <f t="shared" si="15"/>
        <v>#DIV/0!</v>
      </c>
      <c r="F56" s="31" t="e">
        <f t="shared" si="15"/>
        <v>#DIV/0!</v>
      </c>
      <c r="G56" s="31" t="e">
        <f t="shared" si="15"/>
        <v>#DIV/0!</v>
      </c>
      <c r="H56" s="31" t="e">
        <f t="shared" si="15"/>
        <v>#DIV/0!</v>
      </c>
      <c r="I56" s="31" t="e">
        <f t="shared" si="15"/>
        <v>#DIV/0!</v>
      </c>
      <c r="J56" s="31" t="e">
        <f t="shared" si="15"/>
        <v>#DIV/0!</v>
      </c>
      <c r="K56" s="31" t="e">
        <f t="shared" si="15"/>
        <v>#DIV/0!</v>
      </c>
      <c r="L56" s="31" t="e">
        <f t="shared" si="15"/>
        <v>#DIV/0!</v>
      </c>
      <c r="M56" s="31" t="e">
        <f t="shared" si="15"/>
        <v>#DIV/0!</v>
      </c>
      <c r="N56" s="31" t="e">
        <f t="shared" si="15"/>
        <v>#DIV/0!</v>
      </c>
      <c r="O56" s="31" t="e">
        <f t="shared" si="15"/>
        <v>#DIV/0!</v>
      </c>
      <c r="P56" s="31" t="e">
        <f t="shared" si="15"/>
        <v>#DIV/0!</v>
      </c>
      <c r="Q56" s="31" t="e">
        <f t="shared" si="15"/>
        <v>#DIV/0!</v>
      </c>
      <c r="R56" s="31" t="e">
        <f t="shared" si="15"/>
        <v>#DIV/0!</v>
      </c>
      <c r="S56" s="31" t="e">
        <f t="shared" si="15"/>
        <v>#DIV/0!</v>
      </c>
      <c r="T56" s="31" t="e">
        <f t="shared" si="15"/>
        <v>#DIV/0!</v>
      </c>
      <c r="U56" s="31" t="e">
        <f t="shared" si="15"/>
        <v>#DIV/0!</v>
      </c>
      <c r="V56" s="31" t="e">
        <f t="shared" si="15"/>
        <v>#DIV/0!</v>
      </c>
      <c r="W56" s="31" t="e">
        <f t="shared" si="15"/>
        <v>#DIV/0!</v>
      </c>
      <c r="X56" s="31" t="e">
        <f t="shared" si="15"/>
        <v>#DIV/0!</v>
      </c>
      <c r="Y56" s="31" t="e">
        <f t="shared" si="15"/>
        <v>#DIV/0!</v>
      </c>
      <c r="Z56" s="31" t="e">
        <f t="shared" si="15"/>
        <v>#DIV/0!</v>
      </c>
      <c r="AA56" s="31" t="e">
        <f t="shared" si="15"/>
        <v>#DIV/0!</v>
      </c>
    </row>
    <row r="58" spans="1:27" ht="60" x14ac:dyDescent="0.25">
      <c r="B58" s="18" t="s">
        <v>317</v>
      </c>
      <c r="C58" s="31">
        <f>IFERROR(ROUND((NPV(Założenia_Predpoklady!$C$13,D56:Z56)+C56),2),0)</f>
        <v>0</v>
      </c>
      <c r="D58" s="559" t="str">
        <f>IF(C58&lt;0,"Inwestycja nie jest efektywna ekonomicznie.
Investície je neefektívna z ekonomického hľadiska.","")</f>
        <v/>
      </c>
      <c r="E58" s="560"/>
      <c r="F58" s="560"/>
      <c r="G58" s="561"/>
    </row>
    <row r="59" spans="1:27" x14ac:dyDescent="0.25">
      <c r="B59" s="30" t="s">
        <v>378</v>
      </c>
      <c r="C59" s="48" t="str">
        <f>IFERROR(IRR(C56:Z56,-0.5),"Brak możliwości obliczenia (wartość ujemna). 
Výpočet nemožný (záporné hodnoty).")</f>
        <v>Brak możliwości obliczenia (wartość ujemna). 
Výpočet nemožný (záporné hodnoty).</v>
      </c>
      <c r="D59" s="49"/>
      <c r="E59" s="49"/>
      <c r="F59" s="49"/>
      <c r="G59" s="50"/>
      <c r="H59" s="36"/>
    </row>
    <row r="61" spans="1:27" ht="30" customHeight="1" x14ac:dyDescent="0.25">
      <c r="A61" s="12"/>
      <c r="B61" s="537" t="s">
        <v>318</v>
      </c>
      <c r="C61" s="537"/>
    </row>
    <row r="62" spans="1:27" ht="30" x14ac:dyDescent="0.25">
      <c r="B62" s="272" t="s">
        <v>49</v>
      </c>
      <c r="C62" s="25">
        <f>Założenia_Predpoklady!C15</f>
        <v>2016</v>
      </c>
      <c r="D62" s="25">
        <f>Założenia_Predpoklady!D15</f>
        <v>2017</v>
      </c>
      <c r="E62" s="25">
        <f>Założenia_Predpoklady!E15</f>
        <v>2018</v>
      </c>
      <c r="F62" s="25">
        <f>Założenia_Predpoklady!F15</f>
        <v>2019</v>
      </c>
      <c r="G62" s="25">
        <f>Założenia_Predpoklady!G15</f>
        <v>2020</v>
      </c>
      <c r="H62" s="25">
        <f>Założenia_Predpoklady!H15</f>
        <v>2021</v>
      </c>
      <c r="I62" s="25">
        <f>Założenia_Predpoklady!I15</f>
        <v>2022</v>
      </c>
      <c r="J62" s="25">
        <f>Założenia_Predpoklady!J15</f>
        <v>2023</v>
      </c>
      <c r="K62" s="25">
        <f>Założenia_Predpoklady!K15</f>
        <v>2024</v>
      </c>
      <c r="L62" s="25">
        <f>Założenia_Predpoklady!L15</f>
        <v>2025</v>
      </c>
      <c r="M62" s="25">
        <f>Założenia_Predpoklady!M15</f>
        <v>2026</v>
      </c>
      <c r="N62" s="25">
        <f>Założenia_Predpoklady!N15</f>
        <v>2027</v>
      </c>
      <c r="O62" s="25">
        <f>Założenia_Predpoklady!O15</f>
        <v>2028</v>
      </c>
      <c r="P62" s="25">
        <f>Założenia_Predpoklady!P15</f>
        <v>2029</v>
      </c>
      <c r="Q62" s="25">
        <f>Założenia_Predpoklady!Q15</f>
        <v>2030</v>
      </c>
      <c r="R62" s="25">
        <f>Założenia_Predpoklady!R15</f>
        <v>2031</v>
      </c>
      <c r="S62" s="25">
        <f>Założenia_Predpoklady!S15</f>
        <v>2032</v>
      </c>
      <c r="T62" s="25">
        <f>Założenia_Predpoklady!T15</f>
        <v>2033</v>
      </c>
      <c r="U62" s="25">
        <f>Założenia_Predpoklady!U15</f>
        <v>2034</v>
      </c>
      <c r="V62" s="25">
        <f>Założenia_Predpoklady!V15</f>
        <v>2035</v>
      </c>
      <c r="W62" s="25">
        <f>Założenia_Predpoklady!W15</f>
        <v>2036</v>
      </c>
      <c r="X62" s="25">
        <f>Założenia_Predpoklady!X15</f>
        <v>2037</v>
      </c>
      <c r="Y62" s="25">
        <f>Założenia_Predpoklady!Y15</f>
        <v>2038</v>
      </c>
      <c r="Z62" s="25">
        <f>Założenia_Predpoklady!Z15</f>
        <v>2039</v>
      </c>
      <c r="AA62" s="25">
        <f>Założenia_Predpoklady!AA15</f>
        <v>2040</v>
      </c>
    </row>
    <row r="63" spans="1:27" ht="30" x14ac:dyDescent="0.25">
      <c r="B63" s="122" t="s">
        <v>206</v>
      </c>
      <c r="C63" s="32" t="e">
        <f t="shared" ref="C63:AA63" si="16">IF(C62=0,0,C46+C54+(C14*$C$22))</f>
        <v>#DIV/0!</v>
      </c>
      <c r="D63" s="32" t="e">
        <f t="shared" si="16"/>
        <v>#DIV/0!</v>
      </c>
      <c r="E63" s="32" t="e">
        <f t="shared" si="16"/>
        <v>#DIV/0!</v>
      </c>
      <c r="F63" s="32" t="e">
        <f t="shared" si="16"/>
        <v>#DIV/0!</v>
      </c>
      <c r="G63" s="32" t="e">
        <f t="shared" si="16"/>
        <v>#DIV/0!</v>
      </c>
      <c r="H63" s="32" t="e">
        <f t="shared" si="16"/>
        <v>#DIV/0!</v>
      </c>
      <c r="I63" s="32" t="e">
        <f t="shared" si="16"/>
        <v>#DIV/0!</v>
      </c>
      <c r="J63" s="32" t="e">
        <f t="shared" si="16"/>
        <v>#DIV/0!</v>
      </c>
      <c r="K63" s="32" t="e">
        <f t="shared" si="16"/>
        <v>#DIV/0!</v>
      </c>
      <c r="L63" s="32" t="e">
        <f t="shared" si="16"/>
        <v>#DIV/0!</v>
      </c>
      <c r="M63" s="32" t="e">
        <f t="shared" si="16"/>
        <v>#DIV/0!</v>
      </c>
      <c r="N63" s="32" t="e">
        <f t="shared" si="16"/>
        <v>#DIV/0!</v>
      </c>
      <c r="O63" s="32" t="e">
        <f t="shared" si="16"/>
        <v>#DIV/0!</v>
      </c>
      <c r="P63" s="32" t="e">
        <f t="shared" si="16"/>
        <v>#DIV/0!</v>
      </c>
      <c r="Q63" s="32" t="e">
        <f t="shared" si="16"/>
        <v>#DIV/0!</v>
      </c>
      <c r="R63" s="32" t="e">
        <f t="shared" si="16"/>
        <v>#DIV/0!</v>
      </c>
      <c r="S63" s="32" t="e">
        <f t="shared" si="16"/>
        <v>#DIV/0!</v>
      </c>
      <c r="T63" s="32" t="e">
        <f t="shared" si="16"/>
        <v>#DIV/0!</v>
      </c>
      <c r="U63" s="32" t="e">
        <f t="shared" si="16"/>
        <v>#DIV/0!</v>
      </c>
      <c r="V63" s="32" t="e">
        <f t="shared" si="16"/>
        <v>#DIV/0!</v>
      </c>
      <c r="W63" s="32" t="e">
        <f t="shared" si="16"/>
        <v>#DIV/0!</v>
      </c>
      <c r="X63" s="32" t="e">
        <f t="shared" si="16"/>
        <v>#DIV/0!</v>
      </c>
      <c r="Y63" s="32" t="e">
        <f t="shared" si="16"/>
        <v>#DIV/0!</v>
      </c>
      <c r="Z63" s="32" t="e">
        <f t="shared" si="16"/>
        <v>#DIV/0!</v>
      </c>
      <c r="AA63" s="32" t="e">
        <f t="shared" si="16"/>
        <v>#DIV/0!</v>
      </c>
    </row>
    <row r="64" spans="1:27" ht="30" customHeight="1" x14ac:dyDescent="0.25">
      <c r="B64" s="122" t="s">
        <v>207</v>
      </c>
      <c r="C64" s="31" t="e">
        <f>ROUND((NPV(Założenia_Predpoklady!$C$13,D63:Z63)+C63),2)</f>
        <v>#DIV/0!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</row>
    <row r="65" spans="2:27" x14ac:dyDescent="0.25">
      <c r="B65" s="123"/>
    </row>
    <row r="66" spans="2:27" ht="30" x14ac:dyDescent="0.25">
      <c r="B66" s="272" t="s">
        <v>49</v>
      </c>
      <c r="C66" s="119">
        <f>Założenia_Predpoklady!C15</f>
        <v>2016</v>
      </c>
      <c r="D66" s="119">
        <f>Założenia_Predpoklady!D15</f>
        <v>2017</v>
      </c>
      <c r="E66" s="119">
        <f>Założenia_Predpoklady!E15</f>
        <v>2018</v>
      </c>
      <c r="F66" s="119">
        <f>Założenia_Predpoklady!F15</f>
        <v>2019</v>
      </c>
      <c r="G66" s="119">
        <f>Założenia_Predpoklady!G15</f>
        <v>2020</v>
      </c>
      <c r="H66" s="119">
        <f>Założenia_Predpoklady!H15</f>
        <v>2021</v>
      </c>
      <c r="I66" s="119">
        <f>Założenia_Predpoklady!I15</f>
        <v>2022</v>
      </c>
      <c r="J66" s="119">
        <f>Założenia_Predpoklady!J15</f>
        <v>2023</v>
      </c>
      <c r="K66" s="119">
        <f>Założenia_Predpoklady!K15</f>
        <v>2024</v>
      </c>
      <c r="L66" s="119">
        <f>Założenia_Predpoklady!L15</f>
        <v>2025</v>
      </c>
      <c r="M66" s="119">
        <f>Założenia_Predpoklady!M15</f>
        <v>2026</v>
      </c>
      <c r="N66" s="119">
        <f>Założenia_Predpoklady!N15</f>
        <v>2027</v>
      </c>
      <c r="O66" s="119">
        <f>Założenia_Predpoklady!O15</f>
        <v>2028</v>
      </c>
      <c r="P66" s="119">
        <f>Założenia_Predpoklady!P15</f>
        <v>2029</v>
      </c>
      <c r="Q66" s="119">
        <f>Założenia_Predpoklady!Q15</f>
        <v>2030</v>
      </c>
      <c r="R66" s="119">
        <f>Założenia_Predpoklady!R15</f>
        <v>2031</v>
      </c>
      <c r="S66" s="119">
        <f>Założenia_Predpoklady!S15</f>
        <v>2032</v>
      </c>
      <c r="T66" s="119">
        <f>Założenia_Predpoklady!T15</f>
        <v>2033</v>
      </c>
      <c r="U66" s="119">
        <f>Założenia_Predpoklady!U15</f>
        <v>2034</v>
      </c>
      <c r="V66" s="119">
        <f>Założenia_Predpoklady!V15</f>
        <v>2035</v>
      </c>
      <c r="W66" s="119">
        <f>Założenia_Predpoklady!W15</f>
        <v>2036</v>
      </c>
      <c r="X66" s="119">
        <f>Założenia_Predpoklady!X15</f>
        <v>2037</v>
      </c>
      <c r="Y66" s="119">
        <f>Założenia_Predpoklady!Y15</f>
        <v>2038</v>
      </c>
      <c r="Z66" s="119">
        <f>Założenia_Predpoklady!Z15</f>
        <v>2039</v>
      </c>
      <c r="AA66" s="221">
        <f>Założenia_Predpoklady!AA15</f>
        <v>2040</v>
      </c>
    </row>
    <row r="67" spans="2:27" ht="30" x14ac:dyDescent="0.25">
      <c r="B67" s="122" t="s">
        <v>319</v>
      </c>
      <c r="C67" s="32">
        <f t="shared" ref="C67:AA67" si="17">IF(C66=0,0,(C20*$C$22)+C8-C32)</f>
        <v>0</v>
      </c>
      <c r="D67" s="32">
        <f t="shared" si="17"/>
        <v>0</v>
      </c>
      <c r="E67" s="32">
        <f t="shared" si="17"/>
        <v>0</v>
      </c>
      <c r="F67" s="32">
        <f t="shared" si="17"/>
        <v>0</v>
      </c>
      <c r="G67" s="32">
        <f t="shared" si="17"/>
        <v>0</v>
      </c>
      <c r="H67" s="32">
        <f t="shared" si="17"/>
        <v>0</v>
      </c>
      <c r="I67" s="32">
        <f t="shared" si="17"/>
        <v>0</v>
      </c>
      <c r="J67" s="32">
        <f t="shared" si="17"/>
        <v>0</v>
      </c>
      <c r="K67" s="32">
        <f t="shared" si="17"/>
        <v>0</v>
      </c>
      <c r="L67" s="32">
        <f t="shared" si="17"/>
        <v>0</v>
      </c>
      <c r="M67" s="32">
        <f t="shared" si="17"/>
        <v>0</v>
      </c>
      <c r="N67" s="32">
        <f t="shared" si="17"/>
        <v>0</v>
      </c>
      <c r="O67" s="32">
        <f t="shared" si="17"/>
        <v>0</v>
      </c>
      <c r="P67" s="32">
        <f t="shared" si="17"/>
        <v>0</v>
      </c>
      <c r="Q67" s="32">
        <f t="shared" si="17"/>
        <v>0</v>
      </c>
      <c r="R67" s="32">
        <f t="shared" si="17"/>
        <v>0</v>
      </c>
      <c r="S67" s="32">
        <f t="shared" si="17"/>
        <v>0</v>
      </c>
      <c r="T67" s="32">
        <f t="shared" si="17"/>
        <v>0</v>
      </c>
      <c r="U67" s="32">
        <f t="shared" si="17"/>
        <v>0</v>
      </c>
      <c r="V67" s="32">
        <f t="shared" si="17"/>
        <v>0</v>
      </c>
      <c r="W67" s="32">
        <f t="shared" si="17"/>
        <v>0</v>
      </c>
      <c r="X67" s="32">
        <f t="shared" si="17"/>
        <v>0</v>
      </c>
      <c r="Y67" s="32">
        <f t="shared" si="17"/>
        <v>0</v>
      </c>
      <c r="Z67" s="32">
        <f t="shared" si="17"/>
        <v>0</v>
      </c>
      <c r="AA67" s="32">
        <f t="shared" si="17"/>
        <v>0</v>
      </c>
    </row>
    <row r="68" spans="2:27" ht="30" x14ac:dyDescent="0.25">
      <c r="B68" s="122" t="s">
        <v>208</v>
      </c>
      <c r="C68" s="31">
        <f>ROUND((NPV(Założenia_Predpoklady!$C$13,D67:Z67)+C67),2)</f>
        <v>0</v>
      </c>
    </row>
    <row r="70" spans="2:27" ht="30" customHeight="1" x14ac:dyDescent="0.25">
      <c r="B70" s="339" t="s">
        <v>209</v>
      </c>
      <c r="C70" s="31">
        <f>IFERROR(C64/C68,0)</f>
        <v>0</v>
      </c>
      <c r="D70" s="562" t="str">
        <f>IF(C70&lt;1,"Inwestycja nie jest efektywna ekonomicznie.
Investície je neefektívna z ekonomického hľadiska.","")</f>
        <v>Inwestycja nie jest efektywna ekonomicznie.
Investície je neefektívna z ekonomického hľadiska.</v>
      </c>
      <c r="E70" s="563"/>
      <c r="F70" s="563"/>
      <c r="G70" s="564"/>
    </row>
  </sheetData>
  <sheetProtection sheet="1" objects="1" scenarios="1" formatCells="0" formatColumns="0" formatRows="0" insertRows="0" deleteRows="0" selectLockedCells="1"/>
  <mergeCells count="9">
    <mergeCell ref="D58:G58"/>
    <mergeCell ref="D70:G70"/>
    <mergeCell ref="C1:O1"/>
    <mergeCell ref="A1:B1"/>
    <mergeCell ref="B51:C51"/>
    <mergeCell ref="B61:C61"/>
    <mergeCell ref="B37:E37"/>
    <mergeCell ref="F37:J37"/>
    <mergeCell ref="C49:E49"/>
  </mergeCells>
  <conditionalFormatting sqref="C1">
    <cfRule type="cellIs" dxfId="3" priority="32" operator="equal">
      <formula>0</formula>
    </cfRule>
  </conditionalFormatting>
  <conditionalFormatting sqref="C40:AA40 C52:AA52 C55:AA56 C10:AA10 C16:AA16 C29:AA29 C4:J6 C62:AA62 C63:Z63 D63:AA64 C66:AA67 C64 C68 C58:D58 D70">
    <cfRule type="cellIs" dxfId="2" priority="31" operator="equal">
      <formula>0</formula>
    </cfRule>
  </conditionalFormatting>
  <conditionalFormatting sqref="C52:AA52 C55:AA55 C32:Z36 Z37 C38:Z40 C14:AA17 C20:AA29 AA32:AA40 C1:AA6 K7:AA7 C8:AA11 C62:AA62 C66:AA66 F46:AA50 C46:E47 C50:E50">
    <cfRule type="cellIs" dxfId="1" priority="23" operator="equal">
      <formula>0</formula>
    </cfRule>
  </conditionalFormatting>
  <conditionalFormatting sqref="C59">
    <cfRule type="containsText" dxfId="0" priority="18" operator="containsText" text="brak">
      <formula>NOT(ISERROR(SEARCH("brak",C59)))</formula>
    </cfRule>
  </conditionalFormatting>
  <dataValidations count="2">
    <dataValidation allowBlank="1" showInputMessage="1" showErrorMessage="1" prompt="Podaj wartość._x000a_Zadajte hodnotu." sqref="C30:AA31 C18:AA19"/>
    <dataValidation type="decimal" operator="greaterThanOrEqual" allowBlank="1" showInputMessage="1" showErrorMessage="1" prompt="Podaj wartość._x000a_Zadajte hodnotu." sqref="C7:J7 C12:AA13">
      <formula1>0</formula1>
    </dataValidation>
  </dataValidations>
  <pageMargins left="0.7" right="0.7" top="0.75" bottom="0.75" header="0.3" footer="0.3"/>
  <pageSetup paperSize="9" scale="2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4</vt:i4>
      </vt:variant>
    </vt:vector>
  </HeadingPairs>
  <TitlesOfParts>
    <vt:vector size="10" baseType="lpstr">
      <vt:lpstr>Założenia_Predpoklady</vt:lpstr>
      <vt:lpstr>Dane_Dáta</vt:lpstr>
      <vt:lpstr>Wyniki_Výsledky </vt:lpstr>
      <vt:lpstr>Trwałość_Udržateľnosť</vt:lpstr>
      <vt:lpstr>An. ruchu_An. cestnej premávky</vt:lpstr>
      <vt:lpstr>An. ekonomiczna_Ekonomická an.</vt:lpstr>
      <vt:lpstr>Dane_Dáta!Obszar_wydruku</vt:lpstr>
      <vt:lpstr>Trwałość_Udržateľnosť!Obszar_wydruku</vt:lpstr>
      <vt:lpstr>'Wyniki_Výsledky '!Obszar_wydruku</vt:lpstr>
      <vt:lpstr>Założenia_Predpoklady!Obszar_wydruku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2016-01-07T08:05:53Z</dcterms:modified>
</cp:coreProperties>
</file>